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lla\Dropbox\ECS\Embodied Carbon\Scenarios\"/>
    </mc:Choice>
  </mc:AlternateContent>
  <xr:revisionPtr revIDLastSave="0" documentId="13_ncr:1_{B7417CAC-EA7F-43DD-B284-BA26BD135625}" xr6:coauthVersionLast="47" xr6:coauthVersionMax="47" xr10:uidLastSave="{00000000-0000-0000-0000-000000000000}"/>
  <bookViews>
    <workbookView xWindow="-108" yWindow="-108" windowWidth="30936" windowHeight="16776" firstSheet="9" activeTab="12" xr2:uid="{E0AF392C-650E-4940-8A26-05CECA9D9CA2}"/>
  </bookViews>
  <sheets>
    <sheet name="Embodied Carbon Tools Used" sheetId="7" r:id="rId1"/>
    <sheet name="Building Material (A1-A5 B1-B7)" sheetId="1" r:id="rId2"/>
    <sheet name="HRV (A1, B1, C1)" sheetId="8" r:id="rId3"/>
    <sheet name="Heat Pump R410A (A1, B1, C1)" sheetId="3" r:id="rId4"/>
    <sheet name="Operational Emissions (B6) CZ4" sheetId="4" r:id="rId5"/>
    <sheet name="Operational Emissions (B6) CZ6" sheetId="16" r:id="rId6"/>
    <sheet name="Operational Emissions (B6) CZ8" sheetId="17" r:id="rId7"/>
    <sheet name="C1-C4 Demo Base" sheetId="6" r:id="rId8"/>
    <sheet name="C1-C4 Demo Retrofit" sheetId="9" r:id="rId9"/>
    <sheet name="EC over time (CZ8)" sheetId="13" r:id="rId10"/>
    <sheet name="EC over time (CZ6)" sheetId="12" r:id="rId11"/>
    <sheet name="EC over time (CZ4)" sheetId="10" r:id="rId12"/>
    <sheet name="Invested Carbon (CZ4)" sheetId="14" r:id="rId13"/>
    <sheet name="Invested Carbon (CZ6)" sheetId="15" r:id="rId14"/>
    <sheet name="Invested Carbon (CZ8)" sheetId="11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" i="13" l="1"/>
  <c r="G81" i="13"/>
  <c r="G56" i="13"/>
  <c r="G31" i="13"/>
  <c r="F7" i="13"/>
  <c r="E6" i="13"/>
  <c r="C81" i="13"/>
  <c r="C56" i="13"/>
  <c r="C31" i="13"/>
  <c r="B7" i="13"/>
  <c r="B8" i="12"/>
  <c r="B9" i="12" s="1"/>
  <c r="B10" i="12" s="1"/>
  <c r="B11" i="12" s="1"/>
  <c r="B12" i="12" s="1"/>
  <c r="B13" i="12" s="1"/>
  <c r="B14" i="12" s="1"/>
  <c r="B15" i="12" s="1"/>
  <c r="B16" i="12" s="1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B28" i="12" s="1"/>
  <c r="B29" i="12" s="1"/>
  <c r="B30" i="12" s="1"/>
  <c r="B31" i="12" s="1"/>
  <c r="B32" i="12" s="1"/>
  <c r="B33" i="12" s="1"/>
  <c r="B34" i="12" s="1"/>
  <c r="B35" i="12" s="1"/>
  <c r="B36" i="12" s="1"/>
  <c r="B37" i="12" s="1"/>
  <c r="B38" i="12" s="1"/>
  <c r="B39" i="12" s="1"/>
  <c r="B40" i="12" s="1"/>
  <c r="B41" i="12" s="1"/>
  <c r="B42" i="12" s="1"/>
  <c r="B43" i="12" s="1"/>
  <c r="B44" i="12" s="1"/>
  <c r="B45" i="12" s="1"/>
  <c r="B46" i="12" s="1"/>
  <c r="B47" i="12" s="1"/>
  <c r="B48" i="12" s="1"/>
  <c r="B49" i="12" s="1"/>
  <c r="B50" i="12" s="1"/>
  <c r="B51" i="12" s="1"/>
  <c r="B52" i="12" s="1"/>
  <c r="B53" i="12" s="1"/>
  <c r="B54" i="12" s="1"/>
  <c r="B55" i="12" s="1"/>
  <c r="B56" i="12" s="1"/>
  <c r="B57" i="12" s="1"/>
  <c r="B58" i="12" s="1"/>
  <c r="B59" i="12" s="1"/>
  <c r="B60" i="12" s="1"/>
  <c r="B61" i="12" s="1"/>
  <c r="B62" i="12" s="1"/>
  <c r="B63" i="12" s="1"/>
  <c r="B64" i="12" s="1"/>
  <c r="B65" i="12" s="1"/>
  <c r="B66" i="12" s="1"/>
  <c r="B67" i="12" s="1"/>
  <c r="B68" i="12" s="1"/>
  <c r="B69" i="12" s="1"/>
  <c r="B70" i="12" s="1"/>
  <c r="B71" i="12" s="1"/>
  <c r="B72" i="12" s="1"/>
  <c r="B73" i="12" s="1"/>
  <c r="B74" i="12" s="1"/>
  <c r="B75" i="12" s="1"/>
  <c r="B76" i="12" s="1"/>
  <c r="B77" i="12" s="1"/>
  <c r="B78" i="12" s="1"/>
  <c r="B79" i="12" s="1"/>
  <c r="B80" i="12" s="1"/>
  <c r="B81" i="12" s="1"/>
  <c r="B82" i="12" s="1"/>
  <c r="B83" i="12" s="1"/>
  <c r="B84" i="12" s="1"/>
  <c r="B85" i="12" s="1"/>
  <c r="B86" i="12" s="1"/>
  <c r="B87" i="12" s="1"/>
  <c r="B88" i="12" s="1"/>
  <c r="B89" i="12" s="1"/>
  <c r="B90" i="12" s="1"/>
  <c r="B91" i="12" s="1"/>
  <c r="B92" i="12" s="1"/>
  <c r="B93" i="12" s="1"/>
  <c r="B94" i="12" s="1"/>
  <c r="B95" i="12" s="1"/>
  <c r="B96" i="12" s="1"/>
  <c r="B97" i="12" s="1"/>
  <c r="B98" i="12" s="1"/>
  <c r="B99" i="12" s="1"/>
  <c r="B100" i="12" s="1"/>
  <c r="B101" i="12" s="1"/>
  <c r="B102" i="12" s="1"/>
  <c r="B103" i="12" s="1"/>
  <c r="B104" i="12" s="1"/>
  <c r="B105" i="12" s="1"/>
  <c r="B106" i="12" s="1"/>
  <c r="E81" i="12"/>
  <c r="E56" i="12"/>
  <c r="E31" i="12"/>
  <c r="E8" i="12"/>
  <c r="E9" i="12" s="1"/>
  <c r="E10" i="12" s="1"/>
  <c r="E11" i="12" s="1"/>
  <c r="E12" i="12" s="1"/>
  <c r="E13" i="12" s="1"/>
  <c r="E14" i="12" s="1"/>
  <c r="E15" i="12" s="1"/>
  <c r="E16" i="12" s="1"/>
  <c r="E17" i="12" s="1"/>
  <c r="E18" i="12" s="1"/>
  <c r="E19" i="12" s="1"/>
  <c r="E20" i="12" s="1"/>
  <c r="E21" i="12" s="1"/>
  <c r="E22" i="12" s="1"/>
  <c r="E23" i="12" s="1"/>
  <c r="E24" i="12" s="1"/>
  <c r="E25" i="12" s="1"/>
  <c r="E26" i="12" s="1"/>
  <c r="E27" i="12" s="1"/>
  <c r="E28" i="12" s="1"/>
  <c r="E29" i="12" s="1"/>
  <c r="E30" i="12" s="1"/>
  <c r="E32" i="12" s="1"/>
  <c r="E33" i="12" s="1"/>
  <c r="E34" i="12" s="1"/>
  <c r="E35" i="12" s="1"/>
  <c r="E36" i="12" s="1"/>
  <c r="E37" i="12" s="1"/>
  <c r="E38" i="12" s="1"/>
  <c r="E39" i="12" s="1"/>
  <c r="E40" i="12" s="1"/>
  <c r="E41" i="12" s="1"/>
  <c r="E42" i="12" s="1"/>
  <c r="E43" i="12" s="1"/>
  <c r="E44" i="12" s="1"/>
  <c r="E45" i="12" s="1"/>
  <c r="E46" i="12" s="1"/>
  <c r="E47" i="12" s="1"/>
  <c r="E48" i="12" s="1"/>
  <c r="E49" i="12" s="1"/>
  <c r="E50" i="12" s="1"/>
  <c r="E51" i="12" s="1"/>
  <c r="E52" i="12" s="1"/>
  <c r="E53" i="12" s="1"/>
  <c r="E54" i="12" s="1"/>
  <c r="E55" i="12" s="1"/>
  <c r="D81" i="12"/>
  <c r="D56" i="12"/>
  <c r="D31" i="12"/>
  <c r="D8" i="12"/>
  <c r="D9" i="12" s="1"/>
  <c r="D10" i="12" s="1"/>
  <c r="D11" i="12" s="1"/>
  <c r="D12" i="12" s="1"/>
  <c r="D13" i="12" s="1"/>
  <c r="D14" i="12" s="1"/>
  <c r="D15" i="12" s="1"/>
  <c r="D16" i="12" s="1"/>
  <c r="D17" i="12" s="1"/>
  <c r="D18" i="12" s="1"/>
  <c r="D19" i="12" s="1"/>
  <c r="D20" i="12" s="1"/>
  <c r="D21" i="12" s="1"/>
  <c r="D22" i="12" s="1"/>
  <c r="D23" i="12" s="1"/>
  <c r="D24" i="12" s="1"/>
  <c r="D25" i="12" s="1"/>
  <c r="D26" i="12" s="1"/>
  <c r="D27" i="12" s="1"/>
  <c r="D28" i="12" s="1"/>
  <c r="D29" i="12" s="1"/>
  <c r="D30" i="12" s="1"/>
  <c r="G81" i="12"/>
  <c r="G56" i="12"/>
  <c r="G31" i="12"/>
  <c r="C81" i="12"/>
  <c r="C56" i="12"/>
  <c r="C31" i="12"/>
  <c r="F7" i="12"/>
  <c r="E7" i="12"/>
  <c r="D7" i="12"/>
  <c r="C6" i="12"/>
  <c r="G7" i="12"/>
  <c r="E6" i="12"/>
  <c r="E57" i="12" l="1"/>
  <c r="E58" i="12" s="1"/>
  <c r="E59" i="12" s="1"/>
  <c r="E60" i="12" s="1"/>
  <c r="E61" i="12" s="1"/>
  <c r="E62" i="12" s="1"/>
  <c r="E63" i="12" s="1"/>
  <c r="E64" i="12" s="1"/>
  <c r="E65" i="12" s="1"/>
  <c r="E66" i="12" s="1"/>
  <c r="E67" i="12" s="1"/>
  <c r="E68" i="12" s="1"/>
  <c r="E69" i="12" s="1"/>
  <c r="E70" i="12" s="1"/>
  <c r="E71" i="12" s="1"/>
  <c r="E72" i="12" s="1"/>
  <c r="E73" i="12" s="1"/>
  <c r="E74" i="12" s="1"/>
  <c r="E75" i="12" s="1"/>
  <c r="E76" i="12" s="1"/>
  <c r="E77" i="12" s="1"/>
  <c r="E78" i="12" s="1"/>
  <c r="E79" i="12" s="1"/>
  <c r="E80" i="12" s="1"/>
  <c r="E82" i="12" s="1"/>
  <c r="E83" i="12" s="1"/>
  <c r="E84" i="12" s="1"/>
  <c r="E85" i="12" s="1"/>
  <c r="E86" i="12" s="1"/>
  <c r="E87" i="12" s="1"/>
  <c r="E88" i="12" s="1"/>
  <c r="E89" i="12" s="1"/>
  <c r="E90" i="12" s="1"/>
  <c r="E91" i="12" s="1"/>
  <c r="E92" i="12" s="1"/>
  <c r="E93" i="12" s="1"/>
  <c r="E94" i="12" s="1"/>
  <c r="E95" i="12" s="1"/>
  <c r="E96" i="12" s="1"/>
  <c r="E97" i="12" s="1"/>
  <c r="E98" i="12" s="1"/>
  <c r="E99" i="12" s="1"/>
  <c r="E100" i="12" s="1"/>
  <c r="E101" i="12" s="1"/>
  <c r="E102" i="12" s="1"/>
  <c r="E103" i="12" s="1"/>
  <c r="E104" i="12" s="1"/>
  <c r="E105" i="12" s="1"/>
  <c r="E106" i="12" s="1"/>
  <c r="D32" i="12"/>
  <c r="D33" i="12" s="1"/>
  <c r="D34" i="12" s="1"/>
  <c r="D35" i="12" s="1"/>
  <c r="D36" i="12" s="1"/>
  <c r="D37" i="12" s="1"/>
  <c r="D38" i="12" s="1"/>
  <c r="D39" i="12" s="1"/>
  <c r="D40" i="12" s="1"/>
  <c r="D41" i="12" s="1"/>
  <c r="D42" i="12" s="1"/>
  <c r="D43" i="12" s="1"/>
  <c r="D44" i="12" s="1"/>
  <c r="D45" i="12" s="1"/>
  <c r="D46" i="12" s="1"/>
  <c r="D47" i="12" s="1"/>
  <c r="D48" i="12" s="1"/>
  <c r="D49" i="12" s="1"/>
  <c r="D50" i="12" s="1"/>
  <c r="D51" i="12" s="1"/>
  <c r="D52" i="12" s="1"/>
  <c r="D53" i="12" s="1"/>
  <c r="D54" i="12" s="1"/>
  <c r="D55" i="12" s="1"/>
  <c r="D57" i="12" s="1"/>
  <c r="D58" i="12" s="1"/>
  <c r="D59" i="12" s="1"/>
  <c r="D60" i="12" s="1"/>
  <c r="D61" i="12" s="1"/>
  <c r="D62" i="12" s="1"/>
  <c r="D63" i="12" s="1"/>
  <c r="D64" i="12" s="1"/>
  <c r="D65" i="12" s="1"/>
  <c r="D66" i="12" s="1"/>
  <c r="D67" i="12" s="1"/>
  <c r="D68" i="12" s="1"/>
  <c r="D69" i="12" s="1"/>
  <c r="D70" i="12" s="1"/>
  <c r="D71" i="12" s="1"/>
  <c r="D72" i="12" s="1"/>
  <c r="D73" i="12" s="1"/>
  <c r="D74" i="12" s="1"/>
  <c r="D75" i="12" s="1"/>
  <c r="D76" i="12" s="1"/>
  <c r="D77" i="12" s="1"/>
  <c r="D78" i="12" s="1"/>
  <c r="D79" i="12" s="1"/>
  <c r="D80" i="12" s="1"/>
  <c r="D82" i="12" s="1"/>
  <c r="D83" i="12" s="1"/>
  <c r="D84" i="12" s="1"/>
  <c r="D85" i="12" s="1"/>
  <c r="D86" i="12" s="1"/>
  <c r="D87" i="12" s="1"/>
  <c r="D88" i="12" s="1"/>
  <c r="D89" i="12" s="1"/>
  <c r="D90" i="12" s="1"/>
  <c r="D91" i="12" s="1"/>
  <c r="D92" i="12" s="1"/>
  <c r="D93" i="12" s="1"/>
  <c r="D94" i="12" s="1"/>
  <c r="D95" i="12" s="1"/>
  <c r="D96" i="12" s="1"/>
  <c r="D97" i="12" s="1"/>
  <c r="D98" i="12" s="1"/>
  <c r="D99" i="12" s="1"/>
  <c r="D100" i="12" s="1"/>
  <c r="D101" i="12" s="1"/>
  <c r="D102" i="12" s="1"/>
  <c r="D103" i="12" s="1"/>
  <c r="D104" i="12" s="1"/>
  <c r="D105" i="12" s="1"/>
  <c r="D106" i="12" s="1"/>
  <c r="F5" i="15"/>
  <c r="E5" i="15"/>
  <c r="F5" i="14"/>
  <c r="E5" i="14"/>
  <c r="B7" i="12" l="1"/>
  <c r="C7" i="12"/>
  <c r="C8" i="12" s="1"/>
  <c r="C9" i="12" s="1"/>
  <c r="C10" i="12" s="1"/>
  <c r="C11" i="12" s="1"/>
  <c r="C12" i="12" s="1"/>
  <c r="C13" i="12" s="1"/>
  <c r="C14" i="12" s="1"/>
  <c r="C15" i="12" s="1"/>
  <c r="C16" i="12" s="1"/>
  <c r="C17" i="12" s="1"/>
  <c r="C18" i="12" s="1"/>
  <c r="C19" i="12" s="1"/>
  <c r="C20" i="12" s="1"/>
  <c r="C21" i="12" s="1"/>
  <c r="C22" i="12" s="1"/>
  <c r="C23" i="12" s="1"/>
  <c r="C24" i="12" s="1"/>
  <c r="C25" i="12" s="1"/>
  <c r="C26" i="12" s="1"/>
  <c r="C27" i="12" s="1"/>
  <c r="C28" i="12" s="1"/>
  <c r="C29" i="12" s="1"/>
  <c r="C30" i="12" s="1"/>
  <c r="G8" i="12"/>
  <c r="G9" i="12" s="1"/>
  <c r="G10" i="12" s="1"/>
  <c r="G11" i="12" s="1"/>
  <c r="G12" i="12" s="1"/>
  <c r="G13" i="12" s="1"/>
  <c r="G14" i="12" s="1"/>
  <c r="G15" i="12" s="1"/>
  <c r="G16" i="12" s="1"/>
  <c r="G17" i="12" s="1"/>
  <c r="G18" i="12" s="1"/>
  <c r="G19" i="12" s="1"/>
  <c r="G20" i="12" s="1"/>
  <c r="G21" i="12" s="1"/>
  <c r="G22" i="12" s="1"/>
  <c r="G23" i="12" s="1"/>
  <c r="G24" i="12" s="1"/>
  <c r="G25" i="12" s="1"/>
  <c r="G26" i="12" s="1"/>
  <c r="G27" i="12" s="1"/>
  <c r="G28" i="12" s="1"/>
  <c r="G29" i="12" s="1"/>
  <c r="G30" i="12" s="1"/>
  <c r="F81" i="12"/>
  <c r="F56" i="12"/>
  <c r="F31" i="12"/>
  <c r="F12" i="12"/>
  <c r="F8" i="12"/>
  <c r="F9" i="12" s="1"/>
  <c r="F10" i="12" s="1"/>
  <c r="F11" i="12" s="1"/>
  <c r="F13" i="12" s="1"/>
  <c r="F14" i="12" s="1"/>
  <c r="F15" i="12" s="1"/>
  <c r="F16" i="12" s="1"/>
  <c r="F17" i="12" s="1"/>
  <c r="F18" i="12" s="1"/>
  <c r="F19" i="12" s="1"/>
  <c r="F20" i="12" s="1"/>
  <c r="F21" i="12" s="1"/>
  <c r="F22" i="12" s="1"/>
  <c r="F23" i="12" s="1"/>
  <c r="F24" i="12" s="1"/>
  <c r="F25" i="12" s="1"/>
  <c r="F26" i="12" s="1"/>
  <c r="F27" i="12" s="1"/>
  <c r="F28" i="12" s="1"/>
  <c r="F29" i="12" s="1"/>
  <c r="F30" i="12" s="1"/>
  <c r="D31" i="13"/>
  <c r="B81" i="13"/>
  <c r="B56" i="13"/>
  <c r="B31" i="13"/>
  <c r="F81" i="13"/>
  <c r="F56" i="13"/>
  <c r="F31" i="13"/>
  <c r="B8" i="13"/>
  <c r="B9" i="13" s="1"/>
  <c r="B10" i="13" s="1"/>
  <c r="B11" i="13" s="1"/>
  <c r="B12" i="13" s="1"/>
  <c r="B13" i="13" s="1"/>
  <c r="B14" i="13" s="1"/>
  <c r="B15" i="13" s="1"/>
  <c r="B16" i="13" s="1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B28" i="13" s="1"/>
  <c r="B29" i="13" s="1"/>
  <c r="B30" i="13" s="1"/>
  <c r="B32" i="13" s="1"/>
  <c r="B33" i="13" s="1"/>
  <c r="B34" i="13" s="1"/>
  <c r="B35" i="13" s="1"/>
  <c r="B36" i="13" s="1"/>
  <c r="B37" i="13" s="1"/>
  <c r="B38" i="13" s="1"/>
  <c r="B39" i="13" s="1"/>
  <c r="B40" i="13" s="1"/>
  <c r="B41" i="13" s="1"/>
  <c r="B42" i="13" s="1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54" i="13" s="1"/>
  <c r="B55" i="13" s="1"/>
  <c r="B57" i="13" s="1"/>
  <c r="B58" i="13" s="1"/>
  <c r="B59" i="13" s="1"/>
  <c r="B60" i="13" s="1"/>
  <c r="B61" i="13" s="1"/>
  <c r="B62" i="13" s="1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B74" i="13" s="1"/>
  <c r="B75" i="13" s="1"/>
  <c r="B76" i="13" s="1"/>
  <c r="B77" i="13" s="1"/>
  <c r="B78" i="13" s="1"/>
  <c r="B79" i="13" s="1"/>
  <c r="B80" i="13" s="1"/>
  <c r="B82" i="13" s="1"/>
  <c r="B83" i="13" s="1"/>
  <c r="B84" i="13" s="1"/>
  <c r="B85" i="13" s="1"/>
  <c r="B86" i="13" s="1"/>
  <c r="B87" i="13" s="1"/>
  <c r="B88" i="13" s="1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100" i="13" s="1"/>
  <c r="B101" i="13" s="1"/>
  <c r="B102" i="13" s="1"/>
  <c r="B103" i="13" s="1"/>
  <c r="B104" i="13" s="1"/>
  <c r="B105" i="13" s="1"/>
  <c r="B106" i="13" s="1"/>
  <c r="D8" i="13"/>
  <c r="D9" i="13"/>
  <c r="D10" i="13" s="1"/>
  <c r="D11" i="13" s="1"/>
  <c r="D12" i="13" s="1"/>
  <c r="D13" i="13" s="1"/>
  <c r="D14" i="13" s="1"/>
  <c r="D15" i="13" s="1"/>
  <c r="D16" i="13" s="1"/>
  <c r="D17" i="13" s="1"/>
  <c r="D18" i="13" s="1"/>
  <c r="D19" i="13" s="1"/>
  <c r="D20" i="13" s="1"/>
  <c r="D21" i="13" s="1"/>
  <c r="D22" i="13" s="1"/>
  <c r="D23" i="13" s="1"/>
  <c r="D24" i="13" s="1"/>
  <c r="D25" i="13" s="1"/>
  <c r="D26" i="13" s="1"/>
  <c r="D27" i="13" s="1"/>
  <c r="D28" i="13" s="1"/>
  <c r="D29" i="13" s="1"/>
  <c r="D30" i="13" s="1"/>
  <c r="F8" i="13"/>
  <c r="F9" i="13" s="1"/>
  <c r="F10" i="13" s="1"/>
  <c r="F11" i="13" s="1"/>
  <c r="F12" i="13" s="1"/>
  <c r="F13" i="13" s="1"/>
  <c r="F14" i="13" s="1"/>
  <c r="F15" i="13" s="1"/>
  <c r="F16" i="13" s="1"/>
  <c r="F17" i="13" s="1"/>
  <c r="F18" i="13" s="1"/>
  <c r="F19" i="13" s="1"/>
  <c r="F20" i="13" s="1"/>
  <c r="F21" i="13" s="1"/>
  <c r="F22" i="13" s="1"/>
  <c r="F23" i="13" s="1"/>
  <c r="F24" i="13" s="1"/>
  <c r="F25" i="13" s="1"/>
  <c r="F26" i="13" s="1"/>
  <c r="F27" i="13" s="1"/>
  <c r="F28" i="13" s="1"/>
  <c r="F29" i="13" s="1"/>
  <c r="F30" i="13" s="1"/>
  <c r="F32" i="13" s="1"/>
  <c r="F33" i="13" s="1"/>
  <c r="F34" i="13" s="1"/>
  <c r="F35" i="13" s="1"/>
  <c r="F36" i="13" s="1"/>
  <c r="F37" i="13" s="1"/>
  <c r="F38" i="13" s="1"/>
  <c r="F39" i="13" s="1"/>
  <c r="F40" i="13" s="1"/>
  <c r="F41" i="13" s="1"/>
  <c r="F42" i="13" s="1"/>
  <c r="F43" i="13" s="1"/>
  <c r="F44" i="13" s="1"/>
  <c r="F45" i="13" s="1"/>
  <c r="F46" i="13" s="1"/>
  <c r="F47" i="13" s="1"/>
  <c r="F48" i="13" s="1"/>
  <c r="F49" i="13" s="1"/>
  <c r="F50" i="13" s="1"/>
  <c r="F51" i="13" s="1"/>
  <c r="F52" i="13" s="1"/>
  <c r="F53" i="13" s="1"/>
  <c r="F54" i="13" s="1"/>
  <c r="F55" i="13" s="1"/>
  <c r="C7" i="13"/>
  <c r="C8" i="13" s="1"/>
  <c r="C9" i="13" s="1"/>
  <c r="C10" i="13" s="1"/>
  <c r="C11" i="13" s="1"/>
  <c r="C12" i="13" s="1"/>
  <c r="C13" i="13" s="1"/>
  <c r="C14" i="13" s="1"/>
  <c r="C15" i="13" s="1"/>
  <c r="C16" i="13" s="1"/>
  <c r="C17" i="13" s="1"/>
  <c r="C18" i="13" s="1"/>
  <c r="C19" i="13" s="1"/>
  <c r="C20" i="13" s="1"/>
  <c r="C21" i="13" s="1"/>
  <c r="C22" i="13" s="1"/>
  <c r="C23" i="13" s="1"/>
  <c r="C24" i="13" s="1"/>
  <c r="C25" i="13" s="1"/>
  <c r="C26" i="13" s="1"/>
  <c r="C27" i="13" s="1"/>
  <c r="C28" i="13" s="1"/>
  <c r="C29" i="13" s="1"/>
  <c r="C30" i="13" s="1"/>
  <c r="D7" i="13"/>
  <c r="E7" i="13"/>
  <c r="E8" i="13" s="1"/>
  <c r="E9" i="13" s="1"/>
  <c r="E10" i="13" s="1"/>
  <c r="E11" i="13" s="1"/>
  <c r="E12" i="13" s="1"/>
  <c r="E13" i="13" s="1"/>
  <c r="E14" i="13" s="1"/>
  <c r="E15" i="13" s="1"/>
  <c r="E16" i="13" s="1"/>
  <c r="E17" i="13" s="1"/>
  <c r="E18" i="13" s="1"/>
  <c r="E19" i="13" s="1"/>
  <c r="E20" i="13" s="1"/>
  <c r="E21" i="13" s="1"/>
  <c r="E22" i="13" s="1"/>
  <c r="E23" i="13" s="1"/>
  <c r="E24" i="13" s="1"/>
  <c r="E25" i="13" s="1"/>
  <c r="E26" i="13" s="1"/>
  <c r="E27" i="13" s="1"/>
  <c r="E28" i="13" s="1"/>
  <c r="E29" i="13" s="1"/>
  <c r="E30" i="13" s="1"/>
  <c r="E31" i="13" s="1"/>
  <c r="G7" i="13"/>
  <c r="G8" i="13" s="1"/>
  <c r="G9" i="13" s="1"/>
  <c r="G10" i="13" s="1"/>
  <c r="G11" i="13" s="1"/>
  <c r="G12" i="13" s="1"/>
  <c r="G13" i="13" s="1"/>
  <c r="G14" i="13" s="1"/>
  <c r="G15" i="13" s="1"/>
  <c r="G16" i="13" s="1"/>
  <c r="G17" i="13" s="1"/>
  <c r="G18" i="13" s="1"/>
  <c r="G19" i="13" s="1"/>
  <c r="G20" i="13" s="1"/>
  <c r="G21" i="13" s="1"/>
  <c r="G22" i="13" s="1"/>
  <c r="G23" i="13" s="1"/>
  <c r="G24" i="13" s="1"/>
  <c r="G25" i="13" s="1"/>
  <c r="G26" i="13" s="1"/>
  <c r="G27" i="13" s="1"/>
  <c r="G28" i="13" s="1"/>
  <c r="G29" i="13" s="1"/>
  <c r="G30" i="13" s="1"/>
  <c r="E113" i="13"/>
  <c r="D113" i="13"/>
  <c r="F6" i="13"/>
  <c r="D6" i="13"/>
  <c r="B6" i="13"/>
  <c r="E113" i="12"/>
  <c r="D113" i="12"/>
  <c r="F6" i="12"/>
  <c r="D6" i="12"/>
  <c r="B6" i="12"/>
  <c r="F31" i="10"/>
  <c r="F25" i="10"/>
  <c r="B31" i="10"/>
  <c r="B6" i="10"/>
  <c r="G81" i="10"/>
  <c r="G56" i="10"/>
  <c r="G31" i="10"/>
  <c r="G8" i="10"/>
  <c r="G9" i="10" s="1"/>
  <c r="G10" i="10" s="1"/>
  <c r="G11" i="10" s="1"/>
  <c r="G12" i="10" s="1"/>
  <c r="G13" i="10" s="1"/>
  <c r="G14" i="10" s="1"/>
  <c r="G15" i="10" s="1"/>
  <c r="G16" i="10" s="1"/>
  <c r="G17" i="10" s="1"/>
  <c r="G18" i="10" s="1"/>
  <c r="G19" i="10" s="1"/>
  <c r="G20" i="10" s="1"/>
  <c r="G21" i="10" s="1"/>
  <c r="G22" i="10" s="1"/>
  <c r="G23" i="10" s="1"/>
  <c r="G24" i="10" s="1"/>
  <c r="G25" i="10" s="1"/>
  <c r="G26" i="10" s="1"/>
  <c r="G27" i="10" s="1"/>
  <c r="G28" i="10" s="1"/>
  <c r="G29" i="10" s="1"/>
  <c r="G30" i="10" s="1"/>
  <c r="G7" i="10"/>
  <c r="B7" i="10"/>
  <c r="F6" i="10"/>
  <c r="F7" i="10" s="1"/>
  <c r="F8" i="10" s="1"/>
  <c r="F9" i="10" s="1"/>
  <c r="F10" i="10" s="1"/>
  <c r="F11" i="10" s="1"/>
  <c r="F12" i="10" s="1"/>
  <c r="F13" i="10" s="1"/>
  <c r="F14" i="10" s="1"/>
  <c r="F15" i="10" s="1"/>
  <c r="F16" i="10" s="1"/>
  <c r="F17" i="10" s="1"/>
  <c r="F18" i="10" s="1"/>
  <c r="F19" i="10" s="1"/>
  <c r="F20" i="10" s="1"/>
  <c r="F21" i="10" s="1"/>
  <c r="F22" i="10" s="1"/>
  <c r="F23" i="10" s="1"/>
  <c r="F24" i="10" s="1"/>
  <c r="G32" i="13" l="1"/>
  <c r="G33" i="13" s="1"/>
  <c r="G34" i="13" s="1"/>
  <c r="G35" i="13" s="1"/>
  <c r="G36" i="13" s="1"/>
  <c r="G37" i="13" s="1"/>
  <c r="G38" i="13" s="1"/>
  <c r="G39" i="13" s="1"/>
  <c r="G40" i="13" s="1"/>
  <c r="G41" i="13" s="1"/>
  <c r="G42" i="13" s="1"/>
  <c r="G43" i="13" s="1"/>
  <c r="G44" i="13" s="1"/>
  <c r="G45" i="13" s="1"/>
  <c r="G46" i="13" s="1"/>
  <c r="G47" i="13" s="1"/>
  <c r="G48" i="13" s="1"/>
  <c r="G49" i="13" s="1"/>
  <c r="G50" i="13" s="1"/>
  <c r="G51" i="13" s="1"/>
  <c r="G52" i="13" s="1"/>
  <c r="G53" i="13" s="1"/>
  <c r="G54" i="13" s="1"/>
  <c r="G55" i="13" s="1"/>
  <c r="G32" i="12"/>
  <c r="G33" i="12" s="1"/>
  <c r="G34" i="12" s="1"/>
  <c r="G35" i="12" s="1"/>
  <c r="G36" i="12" s="1"/>
  <c r="G37" i="12" s="1"/>
  <c r="G38" i="12" s="1"/>
  <c r="G39" i="12" s="1"/>
  <c r="G40" i="12" s="1"/>
  <c r="G41" i="12" s="1"/>
  <c r="G42" i="12" s="1"/>
  <c r="G43" i="12" s="1"/>
  <c r="G44" i="12" s="1"/>
  <c r="G45" i="12" s="1"/>
  <c r="G46" i="12" s="1"/>
  <c r="G47" i="12" s="1"/>
  <c r="G48" i="12" s="1"/>
  <c r="G49" i="12" s="1"/>
  <c r="G50" i="12" s="1"/>
  <c r="G51" i="12" s="1"/>
  <c r="G52" i="12" s="1"/>
  <c r="G53" i="12" s="1"/>
  <c r="G54" i="12" s="1"/>
  <c r="G55" i="12" s="1"/>
  <c r="C32" i="12"/>
  <c r="C33" i="12" s="1"/>
  <c r="C34" i="12" s="1"/>
  <c r="C35" i="12" s="1"/>
  <c r="C36" i="12" s="1"/>
  <c r="C37" i="12" s="1"/>
  <c r="C38" i="12" s="1"/>
  <c r="C39" i="12" s="1"/>
  <c r="C40" i="12" s="1"/>
  <c r="C41" i="12" s="1"/>
  <c r="C42" i="12" s="1"/>
  <c r="C43" i="12" s="1"/>
  <c r="C44" i="12" s="1"/>
  <c r="C45" i="12" s="1"/>
  <c r="C46" i="12" s="1"/>
  <c r="C47" i="12" s="1"/>
  <c r="C48" i="12" s="1"/>
  <c r="C49" i="12" s="1"/>
  <c r="C50" i="12" s="1"/>
  <c r="C51" i="12" s="1"/>
  <c r="C52" i="12" s="1"/>
  <c r="C53" i="12" s="1"/>
  <c r="C54" i="12" s="1"/>
  <c r="C55" i="12" s="1"/>
  <c r="F32" i="12"/>
  <c r="F33" i="12" s="1"/>
  <c r="F34" i="12" s="1"/>
  <c r="F35" i="12" s="1"/>
  <c r="F36" i="12" s="1"/>
  <c r="F37" i="12" s="1"/>
  <c r="F38" i="12" s="1"/>
  <c r="F39" i="12" s="1"/>
  <c r="F40" i="12" s="1"/>
  <c r="F41" i="12" s="1"/>
  <c r="F42" i="12" s="1"/>
  <c r="F43" i="12" s="1"/>
  <c r="F44" i="12" s="1"/>
  <c r="F45" i="12" s="1"/>
  <c r="F46" i="12" s="1"/>
  <c r="F47" i="12" s="1"/>
  <c r="F48" i="12" s="1"/>
  <c r="F49" i="12" s="1"/>
  <c r="F50" i="12" s="1"/>
  <c r="F51" i="12" s="1"/>
  <c r="F52" i="12" s="1"/>
  <c r="F53" i="12" s="1"/>
  <c r="F54" i="12" s="1"/>
  <c r="F55" i="12" s="1"/>
  <c r="F57" i="12" s="1"/>
  <c r="F58" i="12" s="1"/>
  <c r="F59" i="12" s="1"/>
  <c r="F60" i="12" s="1"/>
  <c r="F61" i="12" s="1"/>
  <c r="F62" i="12" s="1"/>
  <c r="F63" i="12" s="1"/>
  <c r="F64" i="12" s="1"/>
  <c r="F65" i="12" s="1"/>
  <c r="F66" i="12" s="1"/>
  <c r="F67" i="12" s="1"/>
  <c r="F68" i="12" s="1"/>
  <c r="F69" i="12" s="1"/>
  <c r="F70" i="12" s="1"/>
  <c r="F71" i="12" s="1"/>
  <c r="F72" i="12" s="1"/>
  <c r="F73" i="12" s="1"/>
  <c r="F74" i="12" s="1"/>
  <c r="F75" i="12" s="1"/>
  <c r="F76" i="12" s="1"/>
  <c r="F77" i="12" s="1"/>
  <c r="F78" i="12" s="1"/>
  <c r="F79" i="12" s="1"/>
  <c r="F80" i="12" s="1"/>
  <c r="F82" i="12" s="1"/>
  <c r="F83" i="12" s="1"/>
  <c r="F84" i="12" s="1"/>
  <c r="F85" i="12" s="1"/>
  <c r="F86" i="12" s="1"/>
  <c r="F87" i="12" s="1"/>
  <c r="F88" i="12" s="1"/>
  <c r="F89" i="12" s="1"/>
  <c r="F90" i="12" s="1"/>
  <c r="F91" i="12" s="1"/>
  <c r="F92" i="12" s="1"/>
  <c r="F93" i="12" s="1"/>
  <c r="F94" i="12" s="1"/>
  <c r="F95" i="12" s="1"/>
  <c r="F96" i="12" s="1"/>
  <c r="F97" i="12" s="1"/>
  <c r="F98" i="12" s="1"/>
  <c r="F99" i="12" s="1"/>
  <c r="F100" i="12" s="1"/>
  <c r="F101" i="12" s="1"/>
  <c r="F102" i="12" s="1"/>
  <c r="F103" i="12" s="1"/>
  <c r="F104" i="12" s="1"/>
  <c r="F105" i="12" s="1"/>
  <c r="F106" i="12" s="1"/>
  <c r="D32" i="13"/>
  <c r="D33" i="13" s="1"/>
  <c r="D34" i="13" s="1"/>
  <c r="D35" i="13" s="1"/>
  <c r="D36" i="13" s="1"/>
  <c r="D37" i="13" s="1"/>
  <c r="D38" i="13" s="1"/>
  <c r="D39" i="13" s="1"/>
  <c r="D40" i="13" s="1"/>
  <c r="D41" i="13" s="1"/>
  <c r="D42" i="13" s="1"/>
  <c r="D43" i="13" s="1"/>
  <c r="D44" i="13" s="1"/>
  <c r="D45" i="13" s="1"/>
  <c r="D46" i="13" s="1"/>
  <c r="D47" i="13" s="1"/>
  <c r="D48" i="13" s="1"/>
  <c r="D49" i="13" s="1"/>
  <c r="D50" i="13" s="1"/>
  <c r="D51" i="13" s="1"/>
  <c r="D52" i="13" s="1"/>
  <c r="D53" i="13" s="1"/>
  <c r="D54" i="13" s="1"/>
  <c r="D55" i="13" s="1"/>
  <c r="C32" i="13"/>
  <c r="C33" i="13" s="1"/>
  <c r="C34" i="13" s="1"/>
  <c r="C35" i="13" s="1"/>
  <c r="C36" i="13" s="1"/>
  <c r="C37" i="13" s="1"/>
  <c r="C38" i="13" s="1"/>
  <c r="C39" i="13" s="1"/>
  <c r="C40" i="13" s="1"/>
  <c r="C41" i="13" s="1"/>
  <c r="C42" i="13" s="1"/>
  <c r="C43" i="13" s="1"/>
  <c r="C44" i="13" s="1"/>
  <c r="C45" i="13" s="1"/>
  <c r="C46" i="13" s="1"/>
  <c r="C47" i="13" s="1"/>
  <c r="C48" i="13" s="1"/>
  <c r="C49" i="13" s="1"/>
  <c r="C50" i="13" s="1"/>
  <c r="C51" i="13" s="1"/>
  <c r="C52" i="13" s="1"/>
  <c r="C53" i="13" s="1"/>
  <c r="C54" i="13" s="1"/>
  <c r="C55" i="13" s="1"/>
  <c r="E32" i="13"/>
  <c r="E33" i="13" s="1"/>
  <c r="E34" i="13" s="1"/>
  <c r="E35" i="13" s="1"/>
  <c r="E36" i="13" s="1"/>
  <c r="E37" i="13" s="1"/>
  <c r="E38" i="13" s="1"/>
  <c r="E39" i="13" s="1"/>
  <c r="E40" i="13" s="1"/>
  <c r="E41" i="13" s="1"/>
  <c r="E42" i="13" s="1"/>
  <c r="E43" i="13" s="1"/>
  <c r="E44" i="13" s="1"/>
  <c r="E45" i="13" s="1"/>
  <c r="E46" i="13" s="1"/>
  <c r="E47" i="13" s="1"/>
  <c r="E48" i="13" s="1"/>
  <c r="E49" i="13" s="1"/>
  <c r="E50" i="13" s="1"/>
  <c r="E51" i="13" s="1"/>
  <c r="E52" i="13" s="1"/>
  <c r="E53" i="13" s="1"/>
  <c r="E54" i="13" s="1"/>
  <c r="E55" i="13" s="1"/>
  <c r="F57" i="13"/>
  <c r="F58" i="13" s="1"/>
  <c r="F59" i="13" s="1"/>
  <c r="F60" i="13" s="1"/>
  <c r="F61" i="13" s="1"/>
  <c r="F62" i="13" s="1"/>
  <c r="F63" i="13" s="1"/>
  <c r="F64" i="13" s="1"/>
  <c r="F65" i="13" s="1"/>
  <c r="F66" i="13" s="1"/>
  <c r="F67" i="13" s="1"/>
  <c r="F68" i="13" s="1"/>
  <c r="F69" i="13" s="1"/>
  <c r="F70" i="13" s="1"/>
  <c r="F71" i="13" s="1"/>
  <c r="F72" i="13" s="1"/>
  <c r="F73" i="13" s="1"/>
  <c r="F74" i="13" s="1"/>
  <c r="F75" i="13" s="1"/>
  <c r="F76" i="13" s="1"/>
  <c r="F77" i="13" s="1"/>
  <c r="F78" i="13" s="1"/>
  <c r="F79" i="13" s="1"/>
  <c r="F80" i="13" s="1"/>
  <c r="F82" i="13" s="1"/>
  <c r="F83" i="13" s="1"/>
  <c r="F84" i="13" s="1"/>
  <c r="F85" i="13" s="1"/>
  <c r="F86" i="13" s="1"/>
  <c r="F87" i="13" s="1"/>
  <c r="F88" i="13" s="1"/>
  <c r="F89" i="13" s="1"/>
  <c r="F90" i="13" s="1"/>
  <c r="F91" i="13" s="1"/>
  <c r="F92" i="13" s="1"/>
  <c r="F93" i="13" s="1"/>
  <c r="F94" i="13" s="1"/>
  <c r="F95" i="13" s="1"/>
  <c r="F96" i="13" s="1"/>
  <c r="F97" i="13" s="1"/>
  <c r="F98" i="13" s="1"/>
  <c r="F99" i="13" s="1"/>
  <c r="F100" i="13" s="1"/>
  <c r="F101" i="13" s="1"/>
  <c r="F102" i="13" s="1"/>
  <c r="F103" i="13" s="1"/>
  <c r="F104" i="13" s="1"/>
  <c r="F105" i="13" s="1"/>
  <c r="F106" i="13" s="1"/>
  <c r="G32" i="10"/>
  <c r="G33" i="10" s="1"/>
  <c r="G34" i="10" s="1"/>
  <c r="G35" i="10" s="1"/>
  <c r="G36" i="10" s="1"/>
  <c r="G37" i="10" s="1"/>
  <c r="G38" i="10" s="1"/>
  <c r="G39" i="10" s="1"/>
  <c r="G40" i="10" s="1"/>
  <c r="G41" i="10" s="1"/>
  <c r="G42" i="10" s="1"/>
  <c r="G43" i="10" s="1"/>
  <c r="G44" i="10" s="1"/>
  <c r="G45" i="10" s="1"/>
  <c r="G46" i="10" s="1"/>
  <c r="G47" i="10" s="1"/>
  <c r="G48" i="10" s="1"/>
  <c r="G49" i="10" s="1"/>
  <c r="G50" i="10" s="1"/>
  <c r="G51" i="10" s="1"/>
  <c r="G52" i="10" s="1"/>
  <c r="G53" i="10" s="1"/>
  <c r="G54" i="10" s="1"/>
  <c r="G55" i="10" s="1"/>
  <c r="G57" i="10" s="1"/>
  <c r="G58" i="10" s="1"/>
  <c r="G59" i="10" s="1"/>
  <c r="G60" i="10" s="1"/>
  <c r="G61" i="10" s="1"/>
  <c r="G62" i="10" s="1"/>
  <c r="G63" i="10" s="1"/>
  <c r="G64" i="10" s="1"/>
  <c r="G65" i="10" s="1"/>
  <c r="G66" i="10" s="1"/>
  <c r="G67" i="10" s="1"/>
  <c r="G68" i="10" s="1"/>
  <c r="G69" i="10" s="1"/>
  <c r="G70" i="10" s="1"/>
  <c r="G71" i="10" s="1"/>
  <c r="G72" i="10" s="1"/>
  <c r="G73" i="10" s="1"/>
  <c r="G74" i="10" s="1"/>
  <c r="G75" i="10" s="1"/>
  <c r="G76" i="10" s="1"/>
  <c r="G77" i="10" s="1"/>
  <c r="G78" i="10" s="1"/>
  <c r="G79" i="10" s="1"/>
  <c r="G80" i="10" s="1"/>
  <c r="G82" i="10" s="1"/>
  <c r="G83" i="10" s="1"/>
  <c r="G84" i="10" s="1"/>
  <c r="G85" i="10" s="1"/>
  <c r="G86" i="10" s="1"/>
  <c r="G87" i="10" s="1"/>
  <c r="G88" i="10" s="1"/>
  <c r="G89" i="10" s="1"/>
  <c r="G90" i="10" s="1"/>
  <c r="G91" i="10" s="1"/>
  <c r="G92" i="10" s="1"/>
  <c r="G93" i="10" s="1"/>
  <c r="G94" i="10" s="1"/>
  <c r="G95" i="10" s="1"/>
  <c r="G96" i="10" s="1"/>
  <c r="G97" i="10" s="1"/>
  <c r="G98" i="10" s="1"/>
  <c r="G99" i="10" s="1"/>
  <c r="G100" i="10" s="1"/>
  <c r="G101" i="10" s="1"/>
  <c r="G102" i="10" s="1"/>
  <c r="G103" i="10" s="1"/>
  <c r="G104" i="10" s="1"/>
  <c r="G105" i="10" s="1"/>
  <c r="G106" i="10" s="1"/>
  <c r="F26" i="10"/>
  <c r="F27" i="10" s="1"/>
  <c r="F28" i="10" s="1"/>
  <c r="F29" i="10" s="1"/>
  <c r="F30" i="10" s="1"/>
  <c r="F32" i="10" s="1"/>
  <c r="F33" i="10" s="1"/>
  <c r="F34" i="10" s="1"/>
  <c r="F35" i="10" s="1"/>
  <c r="F36" i="10" s="1"/>
  <c r="F37" i="10" s="1"/>
  <c r="F38" i="10" s="1"/>
  <c r="F39" i="10" s="1"/>
  <c r="F40" i="10" s="1"/>
  <c r="F41" i="10" s="1"/>
  <c r="F42" i="10" s="1"/>
  <c r="F43" i="10" s="1"/>
  <c r="F44" i="10" s="1"/>
  <c r="F45" i="10" s="1"/>
  <c r="F46" i="10" s="1"/>
  <c r="F47" i="10" s="1"/>
  <c r="F48" i="10" s="1"/>
  <c r="F49" i="10" s="1"/>
  <c r="F50" i="10" s="1"/>
  <c r="F51" i="10" s="1"/>
  <c r="F52" i="10" s="1"/>
  <c r="F53" i="10" s="1"/>
  <c r="F54" i="10" s="1"/>
  <c r="F55" i="10" s="1"/>
  <c r="G57" i="13" l="1"/>
  <c r="G58" i="13" s="1"/>
  <c r="G59" i="13" s="1"/>
  <c r="G60" i="13" s="1"/>
  <c r="G61" i="13" s="1"/>
  <c r="G62" i="13" s="1"/>
  <c r="G63" i="13" s="1"/>
  <c r="G64" i="13" s="1"/>
  <c r="G65" i="13" s="1"/>
  <c r="G66" i="13" s="1"/>
  <c r="G67" i="13" s="1"/>
  <c r="G68" i="13" s="1"/>
  <c r="G69" i="13" s="1"/>
  <c r="G70" i="13" s="1"/>
  <c r="G71" i="13" s="1"/>
  <c r="G72" i="13" s="1"/>
  <c r="G73" i="13" s="1"/>
  <c r="G74" i="13" s="1"/>
  <c r="G75" i="13" s="1"/>
  <c r="G76" i="13" s="1"/>
  <c r="G77" i="13" s="1"/>
  <c r="G78" i="13" s="1"/>
  <c r="G79" i="13" s="1"/>
  <c r="G80" i="13" s="1"/>
  <c r="E56" i="13"/>
  <c r="E57" i="13" s="1"/>
  <c r="E58" i="13" s="1"/>
  <c r="E59" i="13" s="1"/>
  <c r="E60" i="13" s="1"/>
  <c r="E61" i="13" s="1"/>
  <c r="E62" i="13" s="1"/>
  <c r="E63" i="13" s="1"/>
  <c r="E64" i="13" s="1"/>
  <c r="E65" i="13" s="1"/>
  <c r="E66" i="13" s="1"/>
  <c r="E67" i="13" s="1"/>
  <c r="E68" i="13" s="1"/>
  <c r="E69" i="13" s="1"/>
  <c r="E70" i="13" s="1"/>
  <c r="E71" i="13" s="1"/>
  <c r="E72" i="13" s="1"/>
  <c r="E73" i="13" s="1"/>
  <c r="E74" i="13" s="1"/>
  <c r="E75" i="13" s="1"/>
  <c r="E76" i="13" s="1"/>
  <c r="E77" i="13" s="1"/>
  <c r="E78" i="13" s="1"/>
  <c r="E79" i="13" s="1"/>
  <c r="E80" i="13" s="1"/>
  <c r="C57" i="13"/>
  <c r="C58" i="13" s="1"/>
  <c r="C59" i="13" s="1"/>
  <c r="C60" i="13" s="1"/>
  <c r="C61" i="13" s="1"/>
  <c r="C62" i="13" s="1"/>
  <c r="C63" i="13" s="1"/>
  <c r="C64" i="13" s="1"/>
  <c r="C65" i="13" s="1"/>
  <c r="C66" i="13" s="1"/>
  <c r="C67" i="13" s="1"/>
  <c r="C68" i="13" s="1"/>
  <c r="C69" i="13" s="1"/>
  <c r="C70" i="13" s="1"/>
  <c r="C71" i="13" s="1"/>
  <c r="C72" i="13" s="1"/>
  <c r="C73" i="13" s="1"/>
  <c r="C74" i="13" s="1"/>
  <c r="C75" i="13" s="1"/>
  <c r="C76" i="13" s="1"/>
  <c r="C77" i="13" s="1"/>
  <c r="C78" i="13" s="1"/>
  <c r="C79" i="13" s="1"/>
  <c r="C80" i="13" s="1"/>
  <c r="C57" i="12"/>
  <c r="C58" i="12" s="1"/>
  <c r="C59" i="12" s="1"/>
  <c r="C60" i="12" s="1"/>
  <c r="C61" i="12" s="1"/>
  <c r="C62" i="12" s="1"/>
  <c r="C63" i="12" s="1"/>
  <c r="C64" i="12" s="1"/>
  <c r="C65" i="12" s="1"/>
  <c r="C66" i="12" s="1"/>
  <c r="C67" i="12" s="1"/>
  <c r="C68" i="12" s="1"/>
  <c r="C69" i="12" s="1"/>
  <c r="C70" i="12" s="1"/>
  <c r="C71" i="12" s="1"/>
  <c r="C72" i="12" s="1"/>
  <c r="C73" i="12" s="1"/>
  <c r="C74" i="12" s="1"/>
  <c r="C75" i="12" s="1"/>
  <c r="C76" i="12" s="1"/>
  <c r="C77" i="12" s="1"/>
  <c r="C78" i="12" s="1"/>
  <c r="C79" i="12" s="1"/>
  <c r="C80" i="12" s="1"/>
  <c r="G57" i="12"/>
  <c r="G58" i="12" s="1"/>
  <c r="G59" i="12" s="1"/>
  <c r="G60" i="12" s="1"/>
  <c r="G61" i="12" s="1"/>
  <c r="G62" i="12" s="1"/>
  <c r="G63" i="12" s="1"/>
  <c r="G64" i="12" s="1"/>
  <c r="G65" i="12" s="1"/>
  <c r="G66" i="12" s="1"/>
  <c r="G67" i="12" s="1"/>
  <c r="G68" i="12" s="1"/>
  <c r="G69" i="12" s="1"/>
  <c r="G70" i="12" s="1"/>
  <c r="G71" i="12" s="1"/>
  <c r="G72" i="12" s="1"/>
  <c r="G73" i="12" s="1"/>
  <c r="G74" i="12" s="1"/>
  <c r="G75" i="12" s="1"/>
  <c r="G76" i="12" s="1"/>
  <c r="G77" i="12" s="1"/>
  <c r="G78" i="12" s="1"/>
  <c r="G79" i="12" s="1"/>
  <c r="G80" i="12" s="1"/>
  <c r="G82" i="12" s="1"/>
  <c r="G83" i="12" s="1"/>
  <c r="G84" i="12" s="1"/>
  <c r="G85" i="12" s="1"/>
  <c r="G86" i="12" s="1"/>
  <c r="G87" i="12" s="1"/>
  <c r="G88" i="12" s="1"/>
  <c r="G89" i="12" s="1"/>
  <c r="G90" i="12" s="1"/>
  <c r="G91" i="12" s="1"/>
  <c r="G92" i="12" s="1"/>
  <c r="G93" i="12" s="1"/>
  <c r="G94" i="12" s="1"/>
  <c r="G95" i="12" s="1"/>
  <c r="G96" i="12" s="1"/>
  <c r="G97" i="12" s="1"/>
  <c r="G98" i="12" s="1"/>
  <c r="G99" i="12" s="1"/>
  <c r="G100" i="12" s="1"/>
  <c r="G101" i="12" s="1"/>
  <c r="G102" i="12" s="1"/>
  <c r="G103" i="12" s="1"/>
  <c r="G104" i="12" s="1"/>
  <c r="G105" i="12" s="1"/>
  <c r="G106" i="12" s="1"/>
  <c r="D56" i="13"/>
  <c r="D57" i="13" s="1"/>
  <c r="D58" i="13" s="1"/>
  <c r="D59" i="13" s="1"/>
  <c r="D60" i="13" s="1"/>
  <c r="D61" i="13" s="1"/>
  <c r="D62" i="13" s="1"/>
  <c r="D63" i="13" s="1"/>
  <c r="D64" i="13" s="1"/>
  <c r="D65" i="13" s="1"/>
  <c r="D66" i="13" s="1"/>
  <c r="D67" i="13" s="1"/>
  <c r="D68" i="13" s="1"/>
  <c r="D69" i="13" s="1"/>
  <c r="D70" i="13" s="1"/>
  <c r="D71" i="13" s="1"/>
  <c r="D72" i="13" s="1"/>
  <c r="D73" i="13" s="1"/>
  <c r="D74" i="13" s="1"/>
  <c r="D75" i="13" s="1"/>
  <c r="D76" i="13" s="1"/>
  <c r="D77" i="13" s="1"/>
  <c r="D78" i="13" s="1"/>
  <c r="D79" i="13" s="1"/>
  <c r="D80" i="13" s="1"/>
  <c r="F56" i="10"/>
  <c r="F57" i="10" s="1"/>
  <c r="F58" i="10" s="1"/>
  <c r="F59" i="10" s="1"/>
  <c r="F60" i="10" s="1"/>
  <c r="F61" i="10" s="1"/>
  <c r="F62" i="10" s="1"/>
  <c r="F63" i="10" s="1"/>
  <c r="F64" i="10" s="1"/>
  <c r="F65" i="10" s="1"/>
  <c r="F66" i="10" s="1"/>
  <c r="F67" i="10" s="1"/>
  <c r="F68" i="10" s="1"/>
  <c r="F69" i="10" s="1"/>
  <c r="F70" i="10" s="1"/>
  <c r="F71" i="10" s="1"/>
  <c r="F72" i="10" s="1"/>
  <c r="F73" i="10" s="1"/>
  <c r="F74" i="10" s="1"/>
  <c r="F75" i="10" s="1"/>
  <c r="F76" i="10" s="1"/>
  <c r="F77" i="10" s="1"/>
  <c r="F78" i="10" s="1"/>
  <c r="F79" i="10" s="1"/>
  <c r="F80" i="10" s="1"/>
  <c r="F5" i="11"/>
  <c r="E5" i="11"/>
  <c r="E113" i="10"/>
  <c r="D113" i="10"/>
  <c r="B8" i="10"/>
  <c r="B9" i="10" s="1"/>
  <c r="B10" i="10" s="1"/>
  <c r="B11" i="10" s="1"/>
  <c r="B12" i="10" s="1"/>
  <c r="B13" i="10" s="1"/>
  <c r="B14" i="10" s="1"/>
  <c r="B15" i="10" s="1"/>
  <c r="B16" i="10" s="1"/>
  <c r="B17" i="10" s="1"/>
  <c r="B18" i="10" s="1"/>
  <c r="B19" i="10" s="1"/>
  <c r="B20" i="10" s="1"/>
  <c r="B21" i="10" s="1"/>
  <c r="B22" i="10" s="1"/>
  <c r="B23" i="10" s="1"/>
  <c r="B24" i="10" s="1"/>
  <c r="B25" i="10" s="1"/>
  <c r="B26" i="10" s="1"/>
  <c r="B27" i="10" s="1"/>
  <c r="B28" i="10" s="1"/>
  <c r="B29" i="10" s="1"/>
  <c r="B30" i="10" s="1"/>
  <c r="E6" i="10"/>
  <c r="E7" i="10" s="1"/>
  <c r="E8" i="10" s="1"/>
  <c r="E9" i="10" s="1"/>
  <c r="E10" i="10" s="1"/>
  <c r="E11" i="10" s="1"/>
  <c r="E12" i="10" s="1"/>
  <c r="E13" i="10" s="1"/>
  <c r="E14" i="10" s="1"/>
  <c r="E15" i="10" s="1"/>
  <c r="E16" i="10" s="1"/>
  <c r="E17" i="10" s="1"/>
  <c r="E18" i="10" s="1"/>
  <c r="E19" i="10" s="1"/>
  <c r="E20" i="10" s="1"/>
  <c r="E21" i="10" s="1"/>
  <c r="E22" i="10" s="1"/>
  <c r="E23" i="10" s="1"/>
  <c r="E24" i="10" s="1"/>
  <c r="E25" i="10" s="1"/>
  <c r="E26" i="10" s="1"/>
  <c r="E27" i="10" s="1"/>
  <c r="E28" i="10" s="1"/>
  <c r="E29" i="10" s="1"/>
  <c r="E30" i="10" s="1"/>
  <c r="D6" i="10"/>
  <c r="D7" i="10" s="1"/>
  <c r="D8" i="10" s="1"/>
  <c r="D9" i="10" s="1"/>
  <c r="D10" i="10" s="1"/>
  <c r="D11" i="10" s="1"/>
  <c r="D12" i="10" s="1"/>
  <c r="D13" i="10" s="1"/>
  <c r="D14" i="10" s="1"/>
  <c r="D15" i="10" s="1"/>
  <c r="D16" i="10" s="1"/>
  <c r="D17" i="10" s="1"/>
  <c r="D18" i="10" s="1"/>
  <c r="D19" i="10" s="1"/>
  <c r="D20" i="10" s="1"/>
  <c r="D21" i="10" s="1"/>
  <c r="D22" i="10" s="1"/>
  <c r="D23" i="10" s="1"/>
  <c r="D24" i="10" s="1"/>
  <c r="D25" i="10" s="1"/>
  <c r="D26" i="10" s="1"/>
  <c r="D27" i="10" s="1"/>
  <c r="D28" i="10" s="1"/>
  <c r="D29" i="10" s="1"/>
  <c r="D30" i="10" s="1"/>
  <c r="D31" i="10" s="1"/>
  <c r="C6" i="10"/>
  <c r="C7" i="10" s="1"/>
  <c r="C8" i="10" s="1"/>
  <c r="C9" i="10" s="1"/>
  <c r="C10" i="10" s="1"/>
  <c r="C11" i="10" s="1"/>
  <c r="C12" i="10" s="1"/>
  <c r="C13" i="10" s="1"/>
  <c r="C14" i="10" s="1"/>
  <c r="C15" i="10" s="1"/>
  <c r="C16" i="10" s="1"/>
  <c r="C17" i="10" s="1"/>
  <c r="C18" i="10" s="1"/>
  <c r="C19" i="10" s="1"/>
  <c r="C20" i="10" s="1"/>
  <c r="C21" i="10" s="1"/>
  <c r="C22" i="10" s="1"/>
  <c r="C23" i="10" s="1"/>
  <c r="C24" i="10" s="1"/>
  <c r="C25" i="10" s="1"/>
  <c r="C26" i="10" s="1"/>
  <c r="C27" i="10" s="1"/>
  <c r="C28" i="10" s="1"/>
  <c r="C29" i="10" s="1"/>
  <c r="C30" i="10" s="1"/>
  <c r="C31" i="10" s="1"/>
  <c r="H8" i="6"/>
  <c r="G82" i="13" l="1"/>
  <c r="G83" i="13" s="1"/>
  <c r="G84" i="13" s="1"/>
  <c r="G85" i="13" s="1"/>
  <c r="G86" i="13" s="1"/>
  <c r="G87" i="13" s="1"/>
  <c r="G88" i="13" s="1"/>
  <c r="G89" i="13" s="1"/>
  <c r="G90" i="13" s="1"/>
  <c r="G91" i="13" s="1"/>
  <c r="G92" i="13" s="1"/>
  <c r="G93" i="13" s="1"/>
  <c r="G94" i="13" s="1"/>
  <c r="G95" i="13" s="1"/>
  <c r="G96" i="13" s="1"/>
  <c r="G97" i="13" s="1"/>
  <c r="G98" i="13" s="1"/>
  <c r="G99" i="13" s="1"/>
  <c r="G100" i="13" s="1"/>
  <c r="G101" i="13" s="1"/>
  <c r="G102" i="13" s="1"/>
  <c r="G103" i="13" s="1"/>
  <c r="G104" i="13" s="1"/>
  <c r="G105" i="13" s="1"/>
  <c r="G106" i="13" s="1"/>
  <c r="E81" i="13"/>
  <c r="E82" i="13" s="1"/>
  <c r="E83" i="13" s="1"/>
  <c r="E84" i="13" s="1"/>
  <c r="E85" i="13" s="1"/>
  <c r="E86" i="13" s="1"/>
  <c r="E87" i="13" s="1"/>
  <c r="E88" i="13" s="1"/>
  <c r="E89" i="13" s="1"/>
  <c r="E90" i="13" s="1"/>
  <c r="E91" i="13" s="1"/>
  <c r="E92" i="13" s="1"/>
  <c r="E93" i="13" s="1"/>
  <c r="E94" i="13" s="1"/>
  <c r="E95" i="13" s="1"/>
  <c r="E96" i="13" s="1"/>
  <c r="E97" i="13" s="1"/>
  <c r="E98" i="13" s="1"/>
  <c r="E99" i="13" s="1"/>
  <c r="E100" i="13" s="1"/>
  <c r="E101" i="13" s="1"/>
  <c r="E102" i="13" s="1"/>
  <c r="E103" i="13" s="1"/>
  <c r="E104" i="13" s="1"/>
  <c r="E105" i="13" s="1"/>
  <c r="E106" i="13" s="1"/>
  <c r="C82" i="13"/>
  <c r="C83" i="13" s="1"/>
  <c r="C84" i="13" s="1"/>
  <c r="C85" i="13" s="1"/>
  <c r="C86" i="13" s="1"/>
  <c r="C87" i="13" s="1"/>
  <c r="C88" i="13" s="1"/>
  <c r="C89" i="13" s="1"/>
  <c r="C90" i="13" s="1"/>
  <c r="C91" i="13" s="1"/>
  <c r="C92" i="13" s="1"/>
  <c r="C93" i="13" s="1"/>
  <c r="C94" i="13" s="1"/>
  <c r="C95" i="13" s="1"/>
  <c r="C96" i="13" s="1"/>
  <c r="C97" i="13" s="1"/>
  <c r="C98" i="13" s="1"/>
  <c r="C99" i="13" s="1"/>
  <c r="C100" i="13" s="1"/>
  <c r="C101" i="13" s="1"/>
  <c r="C102" i="13" s="1"/>
  <c r="C103" i="13" s="1"/>
  <c r="C104" i="13" s="1"/>
  <c r="C105" i="13" s="1"/>
  <c r="C106" i="13" s="1"/>
  <c r="C82" i="12"/>
  <c r="C83" i="12" s="1"/>
  <c r="C84" i="12" s="1"/>
  <c r="C85" i="12" s="1"/>
  <c r="C86" i="12" s="1"/>
  <c r="C87" i="12" s="1"/>
  <c r="C88" i="12" s="1"/>
  <c r="C89" i="12" s="1"/>
  <c r="C90" i="12" s="1"/>
  <c r="C91" i="12" s="1"/>
  <c r="C92" i="12" s="1"/>
  <c r="C93" i="12" s="1"/>
  <c r="C94" i="12" s="1"/>
  <c r="C95" i="12" s="1"/>
  <c r="C96" i="12" s="1"/>
  <c r="C97" i="12" s="1"/>
  <c r="C98" i="12" s="1"/>
  <c r="C99" i="12" s="1"/>
  <c r="C100" i="12" s="1"/>
  <c r="C101" i="12" s="1"/>
  <c r="C102" i="12" s="1"/>
  <c r="C103" i="12" s="1"/>
  <c r="C104" i="12" s="1"/>
  <c r="C105" i="12" s="1"/>
  <c r="C106" i="12" s="1"/>
  <c r="D81" i="13"/>
  <c r="D82" i="13" s="1"/>
  <c r="D83" i="13" s="1"/>
  <c r="D84" i="13" s="1"/>
  <c r="D85" i="13" s="1"/>
  <c r="D86" i="13" s="1"/>
  <c r="D87" i="13" s="1"/>
  <c r="D88" i="13" s="1"/>
  <c r="D89" i="13" s="1"/>
  <c r="D90" i="13" s="1"/>
  <c r="D91" i="13" s="1"/>
  <c r="D92" i="13" s="1"/>
  <c r="D93" i="13" s="1"/>
  <c r="D94" i="13" s="1"/>
  <c r="D95" i="13" s="1"/>
  <c r="D96" i="13" s="1"/>
  <c r="D97" i="13" s="1"/>
  <c r="D98" i="13" s="1"/>
  <c r="D99" i="13" s="1"/>
  <c r="D100" i="13" s="1"/>
  <c r="D101" i="13" s="1"/>
  <c r="D102" i="13" s="1"/>
  <c r="D103" i="13" s="1"/>
  <c r="D104" i="13" s="1"/>
  <c r="D105" i="13" s="1"/>
  <c r="D106" i="13" s="1"/>
  <c r="F81" i="10"/>
  <c r="F82" i="10" s="1"/>
  <c r="F83" i="10" s="1"/>
  <c r="F84" i="10" s="1"/>
  <c r="F85" i="10" s="1"/>
  <c r="F86" i="10" s="1"/>
  <c r="F87" i="10" s="1"/>
  <c r="F88" i="10" s="1"/>
  <c r="F89" i="10" s="1"/>
  <c r="F90" i="10" s="1"/>
  <c r="F91" i="10" s="1"/>
  <c r="F92" i="10" s="1"/>
  <c r="F93" i="10" s="1"/>
  <c r="F94" i="10" s="1"/>
  <c r="F95" i="10" s="1"/>
  <c r="F96" i="10" s="1"/>
  <c r="F97" i="10" s="1"/>
  <c r="F98" i="10" s="1"/>
  <c r="F99" i="10" s="1"/>
  <c r="F100" i="10" s="1"/>
  <c r="F101" i="10" s="1"/>
  <c r="F102" i="10" s="1"/>
  <c r="F103" i="10" s="1"/>
  <c r="F104" i="10" s="1"/>
  <c r="F105" i="10" s="1"/>
  <c r="F106" i="10" s="1"/>
  <c r="E31" i="10"/>
  <c r="E32" i="10" s="1"/>
  <c r="E33" i="10" s="1"/>
  <c r="E34" i="10" s="1"/>
  <c r="E35" i="10" s="1"/>
  <c r="E36" i="10" s="1"/>
  <c r="E37" i="10" s="1"/>
  <c r="E38" i="10" s="1"/>
  <c r="E39" i="10" s="1"/>
  <c r="E40" i="10" s="1"/>
  <c r="E41" i="10" s="1"/>
  <c r="E42" i="10" s="1"/>
  <c r="E43" i="10" s="1"/>
  <c r="E44" i="10" s="1"/>
  <c r="E45" i="10" s="1"/>
  <c r="E46" i="10" s="1"/>
  <c r="E47" i="10" s="1"/>
  <c r="E48" i="10" s="1"/>
  <c r="E49" i="10" s="1"/>
  <c r="E50" i="10" s="1"/>
  <c r="E51" i="10" s="1"/>
  <c r="E52" i="10" s="1"/>
  <c r="E53" i="10" s="1"/>
  <c r="E54" i="10" s="1"/>
  <c r="E55" i="10" s="1"/>
  <c r="E56" i="10" s="1"/>
  <c r="E57" i="10" s="1"/>
  <c r="E58" i="10" s="1"/>
  <c r="E59" i="10" s="1"/>
  <c r="E60" i="10" s="1"/>
  <c r="E61" i="10" s="1"/>
  <c r="E62" i="10" s="1"/>
  <c r="E63" i="10" s="1"/>
  <c r="E64" i="10" s="1"/>
  <c r="E65" i="10" s="1"/>
  <c r="E66" i="10" s="1"/>
  <c r="E67" i="10" s="1"/>
  <c r="E68" i="10" s="1"/>
  <c r="E69" i="10" s="1"/>
  <c r="E70" i="10" s="1"/>
  <c r="E71" i="10" s="1"/>
  <c r="E72" i="10" s="1"/>
  <c r="E73" i="10" s="1"/>
  <c r="E74" i="10" s="1"/>
  <c r="E75" i="10" s="1"/>
  <c r="E76" i="10" s="1"/>
  <c r="E77" i="10" s="1"/>
  <c r="E78" i="10" s="1"/>
  <c r="E79" i="10" s="1"/>
  <c r="E80" i="10" s="1"/>
  <c r="D32" i="10"/>
  <c r="D33" i="10" s="1"/>
  <c r="D34" i="10" s="1"/>
  <c r="D35" i="10" s="1"/>
  <c r="D36" i="10" s="1"/>
  <c r="D37" i="10" s="1"/>
  <c r="D38" i="10" s="1"/>
  <c r="D39" i="10" s="1"/>
  <c r="D40" i="10" s="1"/>
  <c r="D41" i="10" s="1"/>
  <c r="D42" i="10" s="1"/>
  <c r="D43" i="10" s="1"/>
  <c r="D44" i="10" s="1"/>
  <c r="D45" i="10" s="1"/>
  <c r="D46" i="10" s="1"/>
  <c r="D47" i="10" s="1"/>
  <c r="D48" i="10" s="1"/>
  <c r="D49" i="10" s="1"/>
  <c r="D50" i="10" s="1"/>
  <c r="D51" i="10" s="1"/>
  <c r="D52" i="10" s="1"/>
  <c r="D53" i="10" s="1"/>
  <c r="D54" i="10" s="1"/>
  <c r="D55" i="10" s="1"/>
  <c r="C32" i="10"/>
  <c r="C33" i="10" s="1"/>
  <c r="C34" i="10" s="1"/>
  <c r="C35" i="10" s="1"/>
  <c r="C36" i="10" s="1"/>
  <c r="C37" i="10" s="1"/>
  <c r="C38" i="10" s="1"/>
  <c r="C39" i="10" s="1"/>
  <c r="C40" i="10" s="1"/>
  <c r="C41" i="10" s="1"/>
  <c r="C42" i="10" s="1"/>
  <c r="C43" i="10" s="1"/>
  <c r="C44" i="10" s="1"/>
  <c r="C45" i="10" s="1"/>
  <c r="C46" i="10" s="1"/>
  <c r="C47" i="10" s="1"/>
  <c r="C48" i="10" s="1"/>
  <c r="C49" i="10" s="1"/>
  <c r="C50" i="10" s="1"/>
  <c r="C51" i="10" s="1"/>
  <c r="C52" i="10" s="1"/>
  <c r="C53" i="10" s="1"/>
  <c r="C54" i="10" s="1"/>
  <c r="C55" i="10" s="1"/>
  <c r="B32" i="10"/>
  <c r="B33" i="10" s="1"/>
  <c r="B34" i="10" s="1"/>
  <c r="B35" i="10" s="1"/>
  <c r="B36" i="10" s="1"/>
  <c r="B37" i="10" s="1"/>
  <c r="B38" i="10" s="1"/>
  <c r="B39" i="10" s="1"/>
  <c r="B40" i="10" s="1"/>
  <c r="B41" i="10" s="1"/>
  <c r="B42" i="10" s="1"/>
  <c r="B43" i="10" s="1"/>
  <c r="B44" i="10" s="1"/>
  <c r="B45" i="10" s="1"/>
  <c r="B46" i="10" s="1"/>
  <c r="B47" i="10" s="1"/>
  <c r="B48" i="10" s="1"/>
  <c r="B49" i="10" s="1"/>
  <c r="B50" i="10" s="1"/>
  <c r="B51" i="10" s="1"/>
  <c r="B52" i="10" s="1"/>
  <c r="B53" i="10" s="1"/>
  <c r="B54" i="10" s="1"/>
  <c r="B55" i="10" s="1"/>
  <c r="B56" i="10" s="1"/>
  <c r="L5" i="9"/>
  <c r="J19" i="9"/>
  <c r="J18" i="9"/>
  <c r="G18" i="9"/>
  <c r="J17" i="9"/>
  <c r="G17" i="9"/>
  <c r="F17" i="9"/>
  <c r="J16" i="9"/>
  <c r="I16" i="9"/>
  <c r="G16" i="9"/>
  <c r="H16" i="9" s="1"/>
  <c r="G15" i="9"/>
  <c r="J15" i="9" s="1"/>
  <c r="H14" i="9"/>
  <c r="G14" i="9"/>
  <c r="J14" i="9" s="1"/>
  <c r="G13" i="9"/>
  <c r="K13" i="9" s="1"/>
  <c r="H12" i="9"/>
  <c r="G12" i="9"/>
  <c r="K12" i="9" s="1"/>
  <c r="G11" i="9"/>
  <c r="J11" i="9" s="1"/>
  <c r="L11" i="9" s="1"/>
  <c r="G10" i="9"/>
  <c r="J10" i="9" s="1"/>
  <c r="F10" i="9"/>
  <c r="K9" i="9"/>
  <c r="J9" i="9"/>
  <c r="I9" i="9"/>
  <c r="G9" i="9"/>
  <c r="H8" i="9"/>
  <c r="G7" i="9"/>
  <c r="F7" i="9"/>
  <c r="J18" i="6"/>
  <c r="G18" i="6"/>
  <c r="L18" i="6"/>
  <c r="F17" i="6"/>
  <c r="G17" i="6" s="1"/>
  <c r="J17" i="6" s="1"/>
  <c r="L17" i="6" s="1"/>
  <c r="G11" i="6"/>
  <c r="J11" i="6" s="1"/>
  <c r="L11" i="6" s="1"/>
  <c r="G12" i="6"/>
  <c r="H12" i="6" s="1"/>
  <c r="G13" i="6"/>
  <c r="I13" i="6" s="1"/>
  <c r="K9" i="6"/>
  <c r="F7" i="6"/>
  <c r="G16" i="6"/>
  <c r="J16" i="6" s="1"/>
  <c r="G15" i="6"/>
  <c r="J15" i="6" s="1"/>
  <c r="G14" i="6"/>
  <c r="J14" i="6" s="1"/>
  <c r="L8" i="6"/>
  <c r="J19" i="6"/>
  <c r="L19" i="6" s="1"/>
  <c r="F10" i="6"/>
  <c r="G10" i="6" s="1"/>
  <c r="H10" i="6" s="1"/>
  <c r="B57" i="10" l="1"/>
  <c r="B58" i="10" s="1"/>
  <c r="B59" i="10" s="1"/>
  <c r="B60" i="10" s="1"/>
  <c r="B61" i="10" s="1"/>
  <c r="B62" i="10" s="1"/>
  <c r="B63" i="10" s="1"/>
  <c r="B64" i="10" s="1"/>
  <c r="B65" i="10" s="1"/>
  <c r="B66" i="10" s="1"/>
  <c r="B67" i="10" s="1"/>
  <c r="B68" i="10" s="1"/>
  <c r="B69" i="10" s="1"/>
  <c r="B70" i="10" s="1"/>
  <c r="B71" i="10" s="1"/>
  <c r="B72" i="10" s="1"/>
  <c r="B73" i="10" s="1"/>
  <c r="B74" i="10" s="1"/>
  <c r="B75" i="10" s="1"/>
  <c r="B76" i="10" s="1"/>
  <c r="B77" i="10" s="1"/>
  <c r="B78" i="10" s="1"/>
  <c r="B79" i="10" s="1"/>
  <c r="B80" i="10" s="1"/>
  <c r="B81" i="10" s="1"/>
  <c r="E81" i="10"/>
  <c r="E82" i="10" s="1"/>
  <c r="E83" i="10" s="1"/>
  <c r="E84" i="10" s="1"/>
  <c r="E85" i="10" s="1"/>
  <c r="E86" i="10" s="1"/>
  <c r="E87" i="10" s="1"/>
  <c r="E88" i="10" s="1"/>
  <c r="E89" i="10" s="1"/>
  <c r="E90" i="10" s="1"/>
  <c r="E91" i="10" s="1"/>
  <c r="E92" i="10" s="1"/>
  <c r="E93" i="10" s="1"/>
  <c r="E94" i="10" s="1"/>
  <c r="E95" i="10" s="1"/>
  <c r="E96" i="10" s="1"/>
  <c r="E97" i="10" s="1"/>
  <c r="E98" i="10" s="1"/>
  <c r="E99" i="10" s="1"/>
  <c r="E100" i="10" s="1"/>
  <c r="E101" i="10" s="1"/>
  <c r="E102" i="10" s="1"/>
  <c r="E103" i="10" s="1"/>
  <c r="E104" i="10" s="1"/>
  <c r="E105" i="10" s="1"/>
  <c r="E106" i="10" s="1"/>
  <c r="C56" i="10"/>
  <c r="C57" i="10" s="1"/>
  <c r="C58" i="10" s="1"/>
  <c r="C59" i="10" s="1"/>
  <c r="C60" i="10" s="1"/>
  <c r="C61" i="10" s="1"/>
  <c r="C62" i="10" s="1"/>
  <c r="C63" i="10" s="1"/>
  <c r="C64" i="10" s="1"/>
  <c r="C65" i="10" s="1"/>
  <c r="C66" i="10" s="1"/>
  <c r="C67" i="10" s="1"/>
  <c r="C68" i="10" s="1"/>
  <c r="C69" i="10" s="1"/>
  <c r="C70" i="10" s="1"/>
  <c r="C71" i="10" s="1"/>
  <c r="C72" i="10" s="1"/>
  <c r="C73" i="10" s="1"/>
  <c r="C74" i="10" s="1"/>
  <c r="C75" i="10" s="1"/>
  <c r="C76" i="10" s="1"/>
  <c r="C77" i="10" s="1"/>
  <c r="C78" i="10" s="1"/>
  <c r="C79" i="10" s="1"/>
  <c r="C80" i="10" s="1"/>
  <c r="D56" i="10"/>
  <c r="D57" i="10" s="1"/>
  <c r="D58" i="10" s="1"/>
  <c r="D59" i="10" s="1"/>
  <c r="D60" i="10" s="1"/>
  <c r="D61" i="10" s="1"/>
  <c r="D62" i="10" s="1"/>
  <c r="D63" i="10" s="1"/>
  <c r="D64" i="10" s="1"/>
  <c r="D65" i="10" s="1"/>
  <c r="D66" i="10" s="1"/>
  <c r="D67" i="10" s="1"/>
  <c r="D68" i="10" s="1"/>
  <c r="D69" i="10" s="1"/>
  <c r="D70" i="10" s="1"/>
  <c r="D71" i="10" s="1"/>
  <c r="D72" i="10" s="1"/>
  <c r="D73" i="10" s="1"/>
  <c r="D74" i="10" s="1"/>
  <c r="D75" i="10" s="1"/>
  <c r="D76" i="10" s="1"/>
  <c r="D77" i="10" s="1"/>
  <c r="D78" i="10" s="1"/>
  <c r="D79" i="10" s="1"/>
  <c r="D80" i="10" s="1"/>
  <c r="H10" i="9"/>
  <c r="L21" i="9" s="1"/>
  <c r="I14" i="9"/>
  <c r="I13" i="9"/>
  <c r="H15" i="9"/>
  <c r="I15" i="9"/>
  <c r="I16" i="6"/>
  <c r="H16" i="6"/>
  <c r="L16" i="6" s="1"/>
  <c r="K12" i="6"/>
  <c r="L12" i="6" s="1"/>
  <c r="H14" i="6"/>
  <c r="L14" i="6" s="1"/>
  <c r="I14" i="6"/>
  <c r="I15" i="6"/>
  <c r="H15" i="6"/>
  <c r="K13" i="6"/>
  <c r="L13" i="6" s="1"/>
  <c r="J10" i="6"/>
  <c r="L10" i="6" s="1"/>
  <c r="D81" i="10" l="1"/>
  <c r="D82" i="10" s="1"/>
  <c r="D83" i="10" s="1"/>
  <c r="D84" i="10" s="1"/>
  <c r="D85" i="10" s="1"/>
  <c r="D86" i="10" s="1"/>
  <c r="D87" i="10" s="1"/>
  <c r="D88" i="10" s="1"/>
  <c r="D89" i="10" s="1"/>
  <c r="D90" i="10" s="1"/>
  <c r="D91" i="10" s="1"/>
  <c r="D92" i="10" s="1"/>
  <c r="D93" i="10" s="1"/>
  <c r="D94" i="10" s="1"/>
  <c r="D95" i="10" s="1"/>
  <c r="D96" i="10" s="1"/>
  <c r="D97" i="10" s="1"/>
  <c r="D98" i="10" s="1"/>
  <c r="D99" i="10" s="1"/>
  <c r="D100" i="10" s="1"/>
  <c r="D101" i="10" s="1"/>
  <c r="D102" i="10" s="1"/>
  <c r="D103" i="10" s="1"/>
  <c r="D104" i="10" s="1"/>
  <c r="D105" i="10" s="1"/>
  <c r="D106" i="10" s="1"/>
  <c r="B82" i="10"/>
  <c r="B83" i="10" s="1"/>
  <c r="B84" i="10" s="1"/>
  <c r="B85" i="10" s="1"/>
  <c r="B86" i="10" s="1"/>
  <c r="B87" i="10" s="1"/>
  <c r="B88" i="10" s="1"/>
  <c r="B89" i="10" s="1"/>
  <c r="B90" i="10" s="1"/>
  <c r="B91" i="10" s="1"/>
  <c r="B92" i="10" s="1"/>
  <c r="B93" i="10" s="1"/>
  <c r="B94" i="10" s="1"/>
  <c r="B95" i="10" s="1"/>
  <c r="B96" i="10" s="1"/>
  <c r="B97" i="10" s="1"/>
  <c r="B98" i="10" s="1"/>
  <c r="B99" i="10" s="1"/>
  <c r="B100" i="10" s="1"/>
  <c r="B101" i="10" s="1"/>
  <c r="B102" i="10" s="1"/>
  <c r="B103" i="10" s="1"/>
  <c r="B104" i="10" s="1"/>
  <c r="B105" i="10" s="1"/>
  <c r="B106" i="10" s="1"/>
  <c r="C81" i="10"/>
  <c r="L15" i="6"/>
  <c r="G7" i="6"/>
  <c r="G9" i="6"/>
  <c r="C82" i="10" l="1"/>
  <c r="C83" i="10" s="1"/>
  <c r="C84" i="10" s="1"/>
  <c r="C85" i="10" s="1"/>
  <c r="C86" i="10" s="1"/>
  <c r="C87" i="10" s="1"/>
  <c r="C88" i="10" s="1"/>
  <c r="C89" i="10" s="1"/>
  <c r="C90" i="10" s="1"/>
  <c r="C91" i="10" s="1"/>
  <c r="C92" i="10" s="1"/>
  <c r="C93" i="10" s="1"/>
  <c r="C94" i="10" s="1"/>
  <c r="C95" i="10" s="1"/>
  <c r="C96" i="10" s="1"/>
  <c r="C97" i="10" s="1"/>
  <c r="C98" i="10" s="1"/>
  <c r="C99" i="10" s="1"/>
  <c r="C100" i="10" s="1"/>
  <c r="C101" i="10" s="1"/>
  <c r="C102" i="10" s="1"/>
  <c r="C103" i="10" s="1"/>
  <c r="C104" i="10" s="1"/>
  <c r="C105" i="10" s="1"/>
  <c r="C106" i="10" s="1"/>
  <c r="J9" i="6"/>
  <c r="I9" i="6"/>
  <c r="L9" i="6" l="1"/>
  <c r="L5" i="6" l="1"/>
  <c r="L21" i="6" s="1"/>
  <c r="E6" i="3"/>
  <c r="F6" i="3"/>
  <c r="G6" i="3"/>
  <c r="D6" i="3"/>
  <c r="E7" i="3"/>
  <c r="F7" i="3"/>
  <c r="G7" i="3"/>
  <c r="D7" i="3"/>
</calcChain>
</file>

<file path=xl/sharedStrings.xml><?xml version="1.0" encoding="utf-8"?>
<sst xmlns="http://schemas.openxmlformats.org/spreadsheetml/2006/main" count="522" uniqueCount="192">
  <si>
    <t>C3</t>
  </si>
  <si>
    <t>C4</t>
  </si>
  <si>
    <t>D</t>
  </si>
  <si>
    <t>transport to site</t>
  </si>
  <si>
    <t>construction</t>
  </si>
  <si>
    <t>maintenance</t>
  </si>
  <si>
    <t>repair</t>
  </si>
  <si>
    <t>refurbishment</t>
  </si>
  <si>
    <t>Base</t>
  </si>
  <si>
    <t>Retrofit</t>
  </si>
  <si>
    <t>LEC Passive</t>
  </si>
  <si>
    <t>HEC Passive</t>
  </si>
  <si>
    <t>material use</t>
  </si>
  <si>
    <t>A4 (not considered)</t>
  </si>
  <si>
    <t>A5 (not considered)</t>
  </si>
  <si>
    <t>energy use (HEET)</t>
  </si>
  <si>
    <t>A1-A3 (Net kg CO2e)</t>
  </si>
  <si>
    <t>B6 (kg CO2e/year)</t>
  </si>
  <si>
    <t>B1 (not considered)</t>
  </si>
  <si>
    <t>B2 (not considered)</t>
  </si>
  <si>
    <t>B3 (not considered)</t>
  </si>
  <si>
    <t>B4 (not considered)</t>
  </si>
  <si>
    <t>B7 (not considered)</t>
  </si>
  <si>
    <t>demo - building</t>
  </si>
  <si>
    <t>water use (not considered due to model restrictions)</t>
  </si>
  <si>
    <t>material extraction, transport to factory, product manufacturing for building (MCE2)</t>
  </si>
  <si>
    <t>B5 (not considered)</t>
  </si>
  <si>
    <t>Heating Load (watts)</t>
  </si>
  <si>
    <t>Heating Load (btu/hr)</t>
  </si>
  <si>
    <t>Heating Load (kw)</t>
  </si>
  <si>
    <t>Heat Pump Size (tons)</t>
  </si>
  <si>
    <t>kg CO2e</t>
  </si>
  <si>
    <t>A1 Materials</t>
  </si>
  <si>
    <t>A1 Repair</t>
  </si>
  <si>
    <t>replacement</t>
  </si>
  <si>
    <t>CIBSE Heat Pump Embodied Carbon Results</t>
  </si>
  <si>
    <t>Building Material:</t>
  </si>
  <si>
    <t>Operational Emissions</t>
  </si>
  <si>
    <t>C1-C4 Embodied Carbon Calcs</t>
  </si>
  <si>
    <t>MCE2</t>
  </si>
  <si>
    <t>HEET</t>
  </si>
  <si>
    <t>CIBSE Heat Pump Calculator (sized with F280 heat loss calcs)</t>
  </si>
  <si>
    <t>Heat Pump/HRV:</t>
  </si>
  <si>
    <t>CIBSE HRV Embodied Carbon Results</t>
  </si>
  <si>
    <t>F280 Heat Loss Results</t>
  </si>
  <si>
    <t>B1+C1</t>
  </si>
  <si>
    <t>Total (R410A Refrigerant) (kg CO2e)</t>
  </si>
  <si>
    <t>HRV (kg CO2e)</t>
  </si>
  <si>
    <t>Total</t>
  </si>
  <si>
    <t>Base (kg CO2e)</t>
  </si>
  <si>
    <t>% Disposal</t>
  </si>
  <si>
    <t>% Recycled</t>
  </si>
  <si>
    <t>Amount</t>
  </si>
  <si>
    <t>kg total</t>
  </si>
  <si>
    <t>Insulation</t>
  </si>
  <si>
    <t>Windows</t>
  </si>
  <si>
    <t>Doors</t>
  </si>
  <si>
    <t>Flooring</t>
  </si>
  <si>
    <t>% Reuse</t>
  </si>
  <si>
    <t>Concrete (kg)</t>
  </si>
  <si>
    <t>% Incinerated</t>
  </si>
  <si>
    <t>waste transport  (not considered)</t>
  </si>
  <si>
    <t>Conversion Factor (kg CO2e/kg)</t>
  </si>
  <si>
    <t>Shingles</t>
  </si>
  <si>
    <t>Rebar</t>
  </si>
  <si>
    <t>Plywood - Walls (sq ft)</t>
  </si>
  <si>
    <t>Plywood - Floors (sq ft)</t>
  </si>
  <si>
    <t>Plywood - Roofs (sq ft)</t>
  </si>
  <si>
    <t>Reuse amount based on City of Victoria deconstruciton requirement</t>
  </si>
  <si>
    <t>Dimensional Wood (bf)</t>
  </si>
  <si>
    <t>Drywall - Walls</t>
  </si>
  <si>
    <t>Drywall - Ceilings</t>
  </si>
  <si>
    <t xml:space="preserve">https://www.egbc.ca/getmedia/a7603519-43cc-4795-8558-6960b2b7b5d1/HTCEC-2nd-edition.pdf.aspx </t>
  </si>
  <si>
    <t>Shingles (m2)</t>
  </si>
  <si>
    <t>Drywall - Ceilings (m2)</t>
  </si>
  <si>
    <t>Drywall - Walls (m2)</t>
  </si>
  <si>
    <t>LEC PH</t>
  </si>
  <si>
    <t>HEC PH</t>
  </si>
  <si>
    <t>Year 1</t>
  </si>
  <si>
    <t>Year 5</t>
  </si>
  <si>
    <t>Year 10</t>
  </si>
  <si>
    <t>Year 15</t>
  </si>
  <si>
    <t>Year 20</t>
  </si>
  <si>
    <t>Year 2</t>
  </si>
  <si>
    <t>Year 3</t>
  </si>
  <si>
    <t>Year 4</t>
  </si>
  <si>
    <t>Year 6</t>
  </si>
  <si>
    <t>Year 7</t>
  </si>
  <si>
    <t>Year 8</t>
  </si>
  <si>
    <t>Year 9</t>
  </si>
  <si>
    <t>Year 11</t>
  </si>
  <si>
    <t>Year 12</t>
  </si>
  <si>
    <t>Year 13</t>
  </si>
  <si>
    <t>Year 14</t>
  </si>
  <si>
    <t>Year 16</t>
  </si>
  <si>
    <t>Year 17</t>
  </si>
  <si>
    <t>Year 18</t>
  </si>
  <si>
    <t>Year 19</t>
  </si>
  <si>
    <t>Year 21</t>
  </si>
  <si>
    <t>Year 22</t>
  </si>
  <si>
    <t>Year 23</t>
  </si>
  <si>
    <t>Year 24</t>
  </si>
  <si>
    <t>Year 25</t>
  </si>
  <si>
    <t>Year 26</t>
  </si>
  <si>
    <t>Year 27</t>
  </si>
  <si>
    <t>Year 28</t>
  </si>
  <si>
    <t>Year 29</t>
  </si>
  <si>
    <t>Year 30</t>
  </si>
  <si>
    <t>Year 31</t>
  </si>
  <si>
    <t>Year 32</t>
  </si>
  <si>
    <t>Year 33</t>
  </si>
  <si>
    <t>Year 34</t>
  </si>
  <si>
    <t>Year 35</t>
  </si>
  <si>
    <t>Year 36</t>
  </si>
  <si>
    <t>Year 37</t>
  </si>
  <si>
    <t>Year 38</t>
  </si>
  <si>
    <t>Year 39</t>
  </si>
  <si>
    <t>Year 40</t>
  </si>
  <si>
    <t>Year 41</t>
  </si>
  <si>
    <t>Year 42</t>
  </si>
  <si>
    <t>Year 43</t>
  </si>
  <si>
    <t>Year 44</t>
  </si>
  <si>
    <t>Year 45</t>
  </si>
  <si>
    <t>Year 46</t>
  </si>
  <si>
    <t>Year 47</t>
  </si>
  <si>
    <t>Year 48</t>
  </si>
  <si>
    <t>Year 49</t>
  </si>
  <si>
    <t>Year 50</t>
  </si>
  <si>
    <t>Year 51</t>
  </si>
  <si>
    <t>Year 52</t>
  </si>
  <si>
    <t>Year 53</t>
  </si>
  <si>
    <t>Year 54</t>
  </si>
  <si>
    <t>Year 55</t>
  </si>
  <si>
    <t>Year 56</t>
  </si>
  <si>
    <t>Year 57</t>
  </si>
  <si>
    <t>Year 58</t>
  </si>
  <si>
    <t>Year 59</t>
  </si>
  <si>
    <t>Year 60</t>
  </si>
  <si>
    <t>Year 61</t>
  </si>
  <si>
    <t>Year 62</t>
  </si>
  <si>
    <t>Year 63</t>
  </si>
  <si>
    <t>Year 64</t>
  </si>
  <si>
    <t>Year 65</t>
  </si>
  <si>
    <t>Year 66</t>
  </si>
  <si>
    <t>Year 67</t>
  </si>
  <si>
    <t>Year 68</t>
  </si>
  <si>
    <t>Year 69</t>
  </si>
  <si>
    <t>Year 70</t>
  </si>
  <si>
    <t>Year 71</t>
  </si>
  <si>
    <t>Year 72</t>
  </si>
  <si>
    <t>Year 73</t>
  </si>
  <si>
    <t>Year 74</t>
  </si>
  <si>
    <t>Year 75</t>
  </si>
  <si>
    <t>Year 76</t>
  </si>
  <si>
    <t>Year 77</t>
  </si>
  <si>
    <t>Year 78</t>
  </si>
  <si>
    <t>Year 79</t>
  </si>
  <si>
    <t>Year 80</t>
  </si>
  <si>
    <t>Year 81</t>
  </si>
  <si>
    <t>Year 82</t>
  </si>
  <si>
    <t>Year 83</t>
  </si>
  <si>
    <t>Year 84</t>
  </si>
  <si>
    <t>Year 85</t>
  </si>
  <si>
    <t>Year 86</t>
  </si>
  <si>
    <t>Year 87</t>
  </si>
  <si>
    <t>Year 88</t>
  </si>
  <si>
    <t>Year 89</t>
  </si>
  <si>
    <t>Year 90</t>
  </si>
  <si>
    <t>Year 91</t>
  </si>
  <si>
    <t>Year 92</t>
  </si>
  <si>
    <t>Year 93</t>
  </si>
  <si>
    <t>Year 94</t>
  </si>
  <si>
    <t>Year 95</t>
  </si>
  <si>
    <t>Year 96</t>
  </si>
  <si>
    <t>Year 97</t>
  </si>
  <si>
    <t>Year 98</t>
  </si>
  <si>
    <t>Year 99</t>
  </si>
  <si>
    <t>Year 100</t>
  </si>
  <si>
    <t>Base EC</t>
  </si>
  <si>
    <t>Climate Zone 4</t>
  </si>
  <si>
    <t>https://www2.gov.bc.ca/assets/gov/environment/climate-change/cng/methodology/2020-pso-methodology.pdf</t>
  </si>
  <si>
    <t>Demo</t>
  </si>
  <si>
    <t>Build Materials</t>
  </si>
  <si>
    <t>Mechancial</t>
  </si>
  <si>
    <t>EnerPHit</t>
  </si>
  <si>
    <t>*</t>
  </si>
  <si>
    <t>Base with Gas Furnace</t>
  </si>
  <si>
    <t>Assumptions:</t>
  </si>
  <si>
    <t>Base - Baseboards</t>
  </si>
  <si>
    <t>Base with Heat Pump</t>
  </si>
  <si>
    <t>Base with Baseboards</t>
  </si>
  <si>
    <t>Retrofit with Heat Pump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</si>
</sst>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10" fontId="0" fillId="0" borderId="0" xfId="0" applyNumberFormat="1"/>
    <xf numFmtId="0" fontId="1" fillId="0" borderId="0" xfId="0" applyFont="1"/>
    <xf numFmtId="2" fontId="1" fillId="0" borderId="0" xfId="0" applyNumberFormat="1" applyFont="1"/>
    <xf numFmtId="0" fontId="2" fillId="0" borderId="0" xfId="1"/>
    <xf numFmtId="2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800" b="1"/>
              <a:t>Total Carbon</a:t>
            </a:r>
            <a:r>
              <a:rPr lang="en-CA" sz="1800" b="1" baseline="0"/>
              <a:t> Over Time (Climate Zone 8)</a:t>
            </a:r>
            <a:endParaRPr lang="en-CA" sz="1800" b="1"/>
          </a:p>
        </c:rich>
      </c:tx>
      <c:layout>
        <c:manualLayout>
          <c:xMode val="edge"/>
          <c:yMode val="edge"/>
          <c:x val="0.34797104291216152"/>
          <c:y val="6.53054738194334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561102346468187E-2"/>
          <c:y val="4.1254349020325945E-2"/>
          <c:w val="0.91948988673283749"/>
          <c:h val="0.89468857717737049"/>
        </c:manualLayout>
      </c:layout>
      <c:lineChart>
        <c:grouping val="standard"/>
        <c:varyColors val="0"/>
        <c:ser>
          <c:idx val="4"/>
          <c:order val="0"/>
          <c:tx>
            <c:v>Base with Gas Furnace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'EC over time (CZ8)'!$F$6:$F$29</c:f>
              <c:numCache>
                <c:formatCode>General</c:formatCode>
                <c:ptCount val="24"/>
                <c:pt idx="0">
                  <c:v>1200</c:v>
                </c:pt>
                <c:pt idx="1">
                  <c:v>17820.48</c:v>
                </c:pt>
                <c:pt idx="2">
                  <c:v>34440.959999999999</c:v>
                </c:pt>
                <c:pt idx="3">
                  <c:v>51061.440000000002</c:v>
                </c:pt>
                <c:pt idx="4">
                  <c:v>67681.919999999998</c:v>
                </c:pt>
                <c:pt idx="5">
                  <c:v>84302.399999999994</c:v>
                </c:pt>
                <c:pt idx="6">
                  <c:v>100922.87999999999</c:v>
                </c:pt>
                <c:pt idx="7">
                  <c:v>117543.35999999999</c:v>
                </c:pt>
                <c:pt idx="8">
                  <c:v>134163.84</c:v>
                </c:pt>
                <c:pt idx="9">
                  <c:v>150784.32000000001</c:v>
                </c:pt>
                <c:pt idx="10">
                  <c:v>167404.80000000002</c:v>
                </c:pt>
                <c:pt idx="11">
                  <c:v>184025.28000000003</c:v>
                </c:pt>
                <c:pt idx="12">
                  <c:v>200645.76000000004</c:v>
                </c:pt>
                <c:pt idx="13">
                  <c:v>217266.24000000005</c:v>
                </c:pt>
                <c:pt idx="14">
                  <c:v>233886.72000000006</c:v>
                </c:pt>
                <c:pt idx="15">
                  <c:v>250507.20000000007</c:v>
                </c:pt>
                <c:pt idx="16">
                  <c:v>267127.68000000005</c:v>
                </c:pt>
                <c:pt idx="17">
                  <c:v>283748.16000000003</c:v>
                </c:pt>
                <c:pt idx="18">
                  <c:v>300368.64000000001</c:v>
                </c:pt>
                <c:pt idx="19">
                  <c:v>316989.12</c:v>
                </c:pt>
                <c:pt idx="20">
                  <c:v>333609.59999999998</c:v>
                </c:pt>
                <c:pt idx="21">
                  <c:v>350230.07999999996</c:v>
                </c:pt>
                <c:pt idx="22">
                  <c:v>366850.55999999994</c:v>
                </c:pt>
                <c:pt idx="23">
                  <c:v>383471.03999999992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BE-4ECC-B1F2-9484DA8B04D6}"/>
            </c:ext>
          </c:extLst>
        </c:ser>
        <c:ser>
          <c:idx val="0"/>
          <c:order val="1"/>
          <c:tx>
            <c:v>Base with Baseboard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'EC over time (CZ8)'!$B$6:$B$76</c:f>
              <c:numCache>
                <c:formatCode>General</c:formatCode>
                <c:ptCount val="71"/>
                <c:pt idx="0">
                  <c:v>100</c:v>
                </c:pt>
                <c:pt idx="1">
                  <c:v>4265.47</c:v>
                </c:pt>
                <c:pt idx="2">
                  <c:v>8430.94</c:v>
                </c:pt>
                <c:pt idx="3">
                  <c:v>12596.41</c:v>
                </c:pt>
                <c:pt idx="4">
                  <c:v>16761.88</c:v>
                </c:pt>
                <c:pt idx="5">
                  <c:v>20927.350000000002</c:v>
                </c:pt>
                <c:pt idx="6">
                  <c:v>25092.820000000003</c:v>
                </c:pt>
                <c:pt idx="7">
                  <c:v>29258.290000000005</c:v>
                </c:pt>
                <c:pt idx="8">
                  <c:v>33423.760000000002</c:v>
                </c:pt>
                <c:pt idx="9">
                  <c:v>37589.230000000003</c:v>
                </c:pt>
                <c:pt idx="10">
                  <c:v>41754.700000000004</c:v>
                </c:pt>
                <c:pt idx="11">
                  <c:v>45920.170000000006</c:v>
                </c:pt>
                <c:pt idx="12">
                  <c:v>50085.640000000007</c:v>
                </c:pt>
                <c:pt idx="13">
                  <c:v>54251.110000000008</c:v>
                </c:pt>
                <c:pt idx="14">
                  <c:v>58416.580000000009</c:v>
                </c:pt>
                <c:pt idx="15">
                  <c:v>62582.05000000001</c:v>
                </c:pt>
                <c:pt idx="16">
                  <c:v>66747.520000000004</c:v>
                </c:pt>
                <c:pt idx="17">
                  <c:v>70912.990000000005</c:v>
                </c:pt>
                <c:pt idx="18">
                  <c:v>75078.460000000006</c:v>
                </c:pt>
                <c:pt idx="19">
                  <c:v>79243.930000000008</c:v>
                </c:pt>
                <c:pt idx="20">
                  <c:v>83409.400000000009</c:v>
                </c:pt>
                <c:pt idx="21">
                  <c:v>87574.87000000001</c:v>
                </c:pt>
                <c:pt idx="22">
                  <c:v>91740.340000000011</c:v>
                </c:pt>
                <c:pt idx="23">
                  <c:v>95905.810000000012</c:v>
                </c:pt>
                <c:pt idx="24">
                  <c:v>100071.28000000001</c:v>
                </c:pt>
                <c:pt idx="25">
                  <c:v>104336.75000000001</c:v>
                </c:pt>
                <c:pt idx="26">
                  <c:v>108502.22000000002</c:v>
                </c:pt>
                <c:pt idx="27">
                  <c:v>112667.69000000002</c:v>
                </c:pt>
                <c:pt idx="28">
                  <c:v>116833.16000000002</c:v>
                </c:pt>
                <c:pt idx="29">
                  <c:v>120998.63000000002</c:v>
                </c:pt>
                <c:pt idx="30">
                  <c:v>125164.10000000002</c:v>
                </c:pt>
                <c:pt idx="31">
                  <c:v>129329.57000000002</c:v>
                </c:pt>
                <c:pt idx="32">
                  <c:v>133495.04000000001</c:v>
                </c:pt>
                <c:pt idx="33">
                  <c:v>137660.51</c:v>
                </c:pt>
                <c:pt idx="34">
                  <c:v>141825.98000000001</c:v>
                </c:pt>
                <c:pt idx="35">
                  <c:v>145991.45000000001</c:v>
                </c:pt>
                <c:pt idx="36">
                  <c:v>150156.92000000001</c:v>
                </c:pt>
                <c:pt idx="37">
                  <c:v>154322.39000000001</c:v>
                </c:pt>
                <c:pt idx="38">
                  <c:v>158487.86000000002</c:v>
                </c:pt>
                <c:pt idx="39">
                  <c:v>162653.33000000002</c:v>
                </c:pt>
                <c:pt idx="40">
                  <c:v>166818.80000000002</c:v>
                </c:pt>
                <c:pt idx="41">
                  <c:v>170984.27000000002</c:v>
                </c:pt>
                <c:pt idx="42">
                  <c:v>175149.74000000002</c:v>
                </c:pt>
                <c:pt idx="43">
                  <c:v>179315.21000000002</c:v>
                </c:pt>
                <c:pt idx="44">
                  <c:v>183480.68000000002</c:v>
                </c:pt>
                <c:pt idx="45">
                  <c:v>187646.15000000002</c:v>
                </c:pt>
                <c:pt idx="46">
                  <c:v>191811.62000000002</c:v>
                </c:pt>
                <c:pt idx="47">
                  <c:v>195977.09000000003</c:v>
                </c:pt>
                <c:pt idx="48">
                  <c:v>200142.56000000003</c:v>
                </c:pt>
                <c:pt idx="49">
                  <c:v>204308.03000000003</c:v>
                </c:pt>
                <c:pt idx="50">
                  <c:v>208573.50000000003</c:v>
                </c:pt>
                <c:pt idx="51">
                  <c:v>212738.97000000003</c:v>
                </c:pt>
                <c:pt idx="52">
                  <c:v>216904.44000000003</c:v>
                </c:pt>
                <c:pt idx="53">
                  <c:v>221069.91000000003</c:v>
                </c:pt>
                <c:pt idx="54">
                  <c:v>225235.38000000003</c:v>
                </c:pt>
                <c:pt idx="55">
                  <c:v>229400.85000000003</c:v>
                </c:pt>
                <c:pt idx="56">
                  <c:v>233566.32000000004</c:v>
                </c:pt>
                <c:pt idx="57">
                  <c:v>237731.79000000004</c:v>
                </c:pt>
                <c:pt idx="58">
                  <c:v>241897.26000000004</c:v>
                </c:pt>
                <c:pt idx="59">
                  <c:v>246062.73000000004</c:v>
                </c:pt>
                <c:pt idx="60">
                  <c:v>250228.20000000004</c:v>
                </c:pt>
                <c:pt idx="61">
                  <c:v>254393.67000000004</c:v>
                </c:pt>
                <c:pt idx="62">
                  <c:v>258559.14000000004</c:v>
                </c:pt>
                <c:pt idx="63">
                  <c:v>262724.61000000004</c:v>
                </c:pt>
                <c:pt idx="64">
                  <c:v>266890.08</c:v>
                </c:pt>
                <c:pt idx="65">
                  <c:v>271055.55</c:v>
                </c:pt>
                <c:pt idx="66">
                  <c:v>275221.01999999996</c:v>
                </c:pt>
                <c:pt idx="67">
                  <c:v>279386.48999999993</c:v>
                </c:pt>
                <c:pt idx="68">
                  <c:v>283551.9599999999</c:v>
                </c:pt>
                <c:pt idx="69">
                  <c:v>287717.42999999988</c:v>
                </c:pt>
                <c:pt idx="70">
                  <c:v>291882.89999999985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BE-4ECC-B1F2-9484DA8B04D6}"/>
            </c:ext>
          </c:extLst>
        </c:ser>
        <c:ser>
          <c:idx val="5"/>
          <c:order val="2"/>
          <c:tx>
            <c:v>Base with ASHP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'EC over time (CZ8)'!$G$6:$G$76</c:f>
              <c:numCache>
                <c:formatCode>General</c:formatCode>
                <c:ptCount val="71"/>
                <c:pt idx="0">
                  <c:v>29074</c:v>
                </c:pt>
                <c:pt idx="1">
                  <c:v>33039.79</c:v>
                </c:pt>
                <c:pt idx="2">
                  <c:v>37005.58</c:v>
                </c:pt>
                <c:pt idx="3">
                  <c:v>40971.370000000003</c:v>
                </c:pt>
                <c:pt idx="4">
                  <c:v>44937.16</c:v>
                </c:pt>
                <c:pt idx="5">
                  <c:v>48902.950000000004</c:v>
                </c:pt>
                <c:pt idx="6">
                  <c:v>52868.740000000005</c:v>
                </c:pt>
                <c:pt idx="7">
                  <c:v>56834.530000000006</c:v>
                </c:pt>
                <c:pt idx="8">
                  <c:v>60800.320000000007</c:v>
                </c:pt>
                <c:pt idx="9">
                  <c:v>64766.110000000008</c:v>
                </c:pt>
                <c:pt idx="10">
                  <c:v>68731.900000000009</c:v>
                </c:pt>
                <c:pt idx="11">
                  <c:v>72697.69</c:v>
                </c:pt>
                <c:pt idx="12">
                  <c:v>76663.48</c:v>
                </c:pt>
                <c:pt idx="13">
                  <c:v>80629.26999999999</c:v>
                </c:pt>
                <c:pt idx="14">
                  <c:v>84595.059999999983</c:v>
                </c:pt>
                <c:pt idx="15">
                  <c:v>88560.849999999977</c:v>
                </c:pt>
                <c:pt idx="16">
                  <c:v>92526.63999999997</c:v>
                </c:pt>
                <c:pt idx="17">
                  <c:v>96492.429999999964</c:v>
                </c:pt>
                <c:pt idx="18">
                  <c:v>100458.21999999996</c:v>
                </c:pt>
                <c:pt idx="19">
                  <c:v>104424.00999999995</c:v>
                </c:pt>
                <c:pt idx="20">
                  <c:v>108389.79999999994</c:v>
                </c:pt>
                <c:pt idx="21">
                  <c:v>112355.58999999994</c:v>
                </c:pt>
                <c:pt idx="22">
                  <c:v>116321.37999999993</c:v>
                </c:pt>
                <c:pt idx="23">
                  <c:v>120287.16999999993</c:v>
                </c:pt>
                <c:pt idx="24">
                  <c:v>124252.95999999992</c:v>
                </c:pt>
                <c:pt idx="25">
                  <c:v>157292.74999999991</c:v>
                </c:pt>
                <c:pt idx="26">
                  <c:v>161258.53999999992</c:v>
                </c:pt>
                <c:pt idx="27">
                  <c:v>165224.32999999993</c:v>
                </c:pt>
                <c:pt idx="28">
                  <c:v>169190.11999999994</c:v>
                </c:pt>
                <c:pt idx="29">
                  <c:v>173155.90999999995</c:v>
                </c:pt>
                <c:pt idx="30">
                  <c:v>177121.69999999995</c:v>
                </c:pt>
                <c:pt idx="31">
                  <c:v>181087.48999999996</c:v>
                </c:pt>
                <c:pt idx="32">
                  <c:v>185053.27999999997</c:v>
                </c:pt>
                <c:pt idx="33">
                  <c:v>189019.06999999998</c:v>
                </c:pt>
                <c:pt idx="34">
                  <c:v>192984.86</c:v>
                </c:pt>
                <c:pt idx="35">
                  <c:v>196950.65</c:v>
                </c:pt>
                <c:pt idx="36">
                  <c:v>200916.44</c:v>
                </c:pt>
                <c:pt idx="37">
                  <c:v>204882.23</c:v>
                </c:pt>
                <c:pt idx="38">
                  <c:v>208848.02000000002</c:v>
                </c:pt>
                <c:pt idx="39">
                  <c:v>212813.81000000003</c:v>
                </c:pt>
                <c:pt idx="40">
                  <c:v>216779.60000000003</c:v>
                </c:pt>
                <c:pt idx="41">
                  <c:v>220745.39000000004</c:v>
                </c:pt>
                <c:pt idx="42">
                  <c:v>224711.18000000005</c:v>
                </c:pt>
                <c:pt idx="43">
                  <c:v>228676.97000000006</c:v>
                </c:pt>
                <c:pt idx="44">
                  <c:v>232642.76000000007</c:v>
                </c:pt>
                <c:pt idx="45">
                  <c:v>236608.55000000008</c:v>
                </c:pt>
                <c:pt idx="46">
                  <c:v>240574.34000000008</c:v>
                </c:pt>
                <c:pt idx="47">
                  <c:v>244540.13000000009</c:v>
                </c:pt>
                <c:pt idx="48">
                  <c:v>248505.9200000001</c:v>
                </c:pt>
                <c:pt idx="49">
                  <c:v>252471.71000000011</c:v>
                </c:pt>
                <c:pt idx="50">
                  <c:v>285511.50000000012</c:v>
                </c:pt>
                <c:pt idx="51">
                  <c:v>289477.2900000001</c:v>
                </c:pt>
                <c:pt idx="52">
                  <c:v>293443.08000000007</c:v>
                </c:pt>
                <c:pt idx="53">
                  <c:v>297408.87000000005</c:v>
                </c:pt>
                <c:pt idx="54">
                  <c:v>301374.66000000003</c:v>
                </c:pt>
                <c:pt idx="55">
                  <c:v>305340.45</c:v>
                </c:pt>
                <c:pt idx="56">
                  <c:v>309306.23999999999</c:v>
                </c:pt>
                <c:pt idx="57">
                  <c:v>313272.02999999997</c:v>
                </c:pt>
                <c:pt idx="58">
                  <c:v>317237.81999999995</c:v>
                </c:pt>
                <c:pt idx="59">
                  <c:v>321203.60999999993</c:v>
                </c:pt>
                <c:pt idx="60">
                  <c:v>325169.39999999991</c:v>
                </c:pt>
                <c:pt idx="61">
                  <c:v>329135.18999999989</c:v>
                </c:pt>
                <c:pt idx="62">
                  <c:v>333100.97999999986</c:v>
                </c:pt>
                <c:pt idx="63">
                  <c:v>337066.76999999984</c:v>
                </c:pt>
                <c:pt idx="64">
                  <c:v>341032.55999999982</c:v>
                </c:pt>
                <c:pt idx="65">
                  <c:v>344998.3499999998</c:v>
                </c:pt>
                <c:pt idx="66">
                  <c:v>348964.13999999978</c:v>
                </c:pt>
                <c:pt idx="67">
                  <c:v>352929.92999999976</c:v>
                </c:pt>
                <c:pt idx="68">
                  <c:v>356895.71999999974</c:v>
                </c:pt>
                <c:pt idx="69">
                  <c:v>360861.50999999972</c:v>
                </c:pt>
                <c:pt idx="70">
                  <c:v>364827.2999999997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BE-4ECC-B1F2-9484DA8B04D6}"/>
            </c:ext>
          </c:extLst>
        </c:ser>
        <c:ser>
          <c:idx val="1"/>
          <c:order val="3"/>
          <c:tx>
            <c:v>Retrofit with ASHP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'EC over time (CZ8)'!$C$6:$C$76</c:f>
              <c:numCache>
                <c:formatCode>General</c:formatCode>
                <c:ptCount val="71"/>
                <c:pt idx="0">
                  <c:v>27072.73</c:v>
                </c:pt>
                <c:pt idx="1">
                  <c:v>30013.02</c:v>
                </c:pt>
                <c:pt idx="2">
                  <c:v>32953.31</c:v>
                </c:pt>
                <c:pt idx="3">
                  <c:v>35893.599999999999</c:v>
                </c:pt>
                <c:pt idx="4">
                  <c:v>38833.89</c:v>
                </c:pt>
                <c:pt idx="5">
                  <c:v>41774.18</c:v>
                </c:pt>
                <c:pt idx="6">
                  <c:v>44714.47</c:v>
                </c:pt>
                <c:pt idx="7">
                  <c:v>47654.76</c:v>
                </c:pt>
                <c:pt idx="8">
                  <c:v>50595.05</c:v>
                </c:pt>
                <c:pt idx="9">
                  <c:v>53535.340000000004</c:v>
                </c:pt>
                <c:pt idx="10">
                  <c:v>56475.630000000005</c:v>
                </c:pt>
                <c:pt idx="11">
                  <c:v>59415.920000000006</c:v>
                </c:pt>
                <c:pt idx="12">
                  <c:v>62356.210000000006</c:v>
                </c:pt>
                <c:pt idx="13">
                  <c:v>65296.500000000007</c:v>
                </c:pt>
                <c:pt idx="14">
                  <c:v>68236.790000000008</c:v>
                </c:pt>
                <c:pt idx="15">
                  <c:v>71177.08</c:v>
                </c:pt>
                <c:pt idx="16">
                  <c:v>74117.37</c:v>
                </c:pt>
                <c:pt idx="17">
                  <c:v>77057.659999999989</c:v>
                </c:pt>
                <c:pt idx="18">
                  <c:v>79997.949999999983</c:v>
                </c:pt>
                <c:pt idx="19">
                  <c:v>82938.239999999976</c:v>
                </c:pt>
                <c:pt idx="20">
                  <c:v>85878.52999999997</c:v>
                </c:pt>
                <c:pt idx="21">
                  <c:v>88818.819999999963</c:v>
                </c:pt>
                <c:pt idx="22">
                  <c:v>91759.109999999957</c:v>
                </c:pt>
                <c:pt idx="23">
                  <c:v>94699.399999999951</c:v>
                </c:pt>
                <c:pt idx="24">
                  <c:v>97639.689999999944</c:v>
                </c:pt>
                <c:pt idx="25">
                  <c:v>125394.97999999994</c:v>
                </c:pt>
                <c:pt idx="26">
                  <c:v>128335.26999999993</c:v>
                </c:pt>
                <c:pt idx="27">
                  <c:v>131275.55999999994</c:v>
                </c:pt>
                <c:pt idx="28">
                  <c:v>134215.84999999995</c:v>
                </c:pt>
                <c:pt idx="29">
                  <c:v>137156.13999999996</c:v>
                </c:pt>
                <c:pt idx="30">
                  <c:v>140096.42999999996</c:v>
                </c:pt>
                <c:pt idx="31">
                  <c:v>143036.71999999997</c:v>
                </c:pt>
                <c:pt idx="32">
                  <c:v>145977.00999999998</c:v>
                </c:pt>
                <c:pt idx="33">
                  <c:v>148917.29999999999</c:v>
                </c:pt>
                <c:pt idx="34">
                  <c:v>151857.59</c:v>
                </c:pt>
                <c:pt idx="35">
                  <c:v>154797.88</c:v>
                </c:pt>
                <c:pt idx="36">
                  <c:v>157738.17000000001</c:v>
                </c:pt>
                <c:pt idx="37">
                  <c:v>160678.46000000002</c:v>
                </c:pt>
                <c:pt idx="38">
                  <c:v>163618.75000000003</c:v>
                </c:pt>
                <c:pt idx="39">
                  <c:v>166559.04000000004</c:v>
                </c:pt>
                <c:pt idx="40">
                  <c:v>169499.33000000005</c:v>
                </c:pt>
                <c:pt idx="41">
                  <c:v>172439.62000000005</c:v>
                </c:pt>
                <c:pt idx="42">
                  <c:v>175379.91000000006</c:v>
                </c:pt>
                <c:pt idx="43">
                  <c:v>178320.20000000007</c:v>
                </c:pt>
                <c:pt idx="44">
                  <c:v>181260.49000000008</c:v>
                </c:pt>
                <c:pt idx="45">
                  <c:v>184200.78000000009</c:v>
                </c:pt>
                <c:pt idx="46">
                  <c:v>187141.07000000009</c:v>
                </c:pt>
                <c:pt idx="47">
                  <c:v>190081.3600000001</c:v>
                </c:pt>
                <c:pt idx="48">
                  <c:v>193021.65000000011</c:v>
                </c:pt>
                <c:pt idx="49">
                  <c:v>195961.94000000012</c:v>
                </c:pt>
                <c:pt idx="50">
                  <c:v>223717.23000000013</c:v>
                </c:pt>
                <c:pt idx="51">
                  <c:v>226657.52000000014</c:v>
                </c:pt>
                <c:pt idx="52">
                  <c:v>229597.81000000014</c:v>
                </c:pt>
                <c:pt idx="53">
                  <c:v>232538.10000000015</c:v>
                </c:pt>
                <c:pt idx="54">
                  <c:v>235478.39000000016</c:v>
                </c:pt>
                <c:pt idx="55">
                  <c:v>238418.68000000017</c:v>
                </c:pt>
                <c:pt idx="56">
                  <c:v>241358.97000000018</c:v>
                </c:pt>
                <c:pt idx="57">
                  <c:v>244299.26000000018</c:v>
                </c:pt>
                <c:pt idx="58">
                  <c:v>247239.55000000019</c:v>
                </c:pt>
                <c:pt idx="59">
                  <c:v>250179.8400000002</c:v>
                </c:pt>
                <c:pt idx="60">
                  <c:v>253120.13000000021</c:v>
                </c:pt>
                <c:pt idx="61">
                  <c:v>256060.42000000022</c:v>
                </c:pt>
                <c:pt idx="62">
                  <c:v>259000.71000000022</c:v>
                </c:pt>
                <c:pt idx="63">
                  <c:v>261941.00000000023</c:v>
                </c:pt>
                <c:pt idx="64">
                  <c:v>264881.29000000021</c:v>
                </c:pt>
                <c:pt idx="65">
                  <c:v>267821.58000000019</c:v>
                </c:pt>
                <c:pt idx="66">
                  <c:v>270761.87000000017</c:v>
                </c:pt>
                <c:pt idx="67">
                  <c:v>273702.16000000015</c:v>
                </c:pt>
                <c:pt idx="68">
                  <c:v>276642.45000000013</c:v>
                </c:pt>
                <c:pt idx="69">
                  <c:v>279582.74000000011</c:v>
                </c:pt>
                <c:pt idx="70">
                  <c:v>282523.03000000009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9BE-4ECC-B1F2-9484DA8B04D6}"/>
            </c:ext>
          </c:extLst>
        </c:ser>
        <c:ser>
          <c:idx val="2"/>
          <c:order val="4"/>
          <c:tx>
            <c:v>LEC PH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'EC over time (CZ8)'!$D$6:$D$76</c:f>
              <c:numCache>
                <c:formatCode>0.00</c:formatCode>
                <c:ptCount val="71"/>
                <c:pt idx="0">
                  <c:v>31756.221922337034</c:v>
                </c:pt>
                <c:pt idx="1">
                  <c:v>32402.171922337035</c:v>
                </c:pt>
                <c:pt idx="2">
                  <c:v>33048.121922337035</c:v>
                </c:pt>
                <c:pt idx="3">
                  <c:v>33694.071922337032</c:v>
                </c:pt>
                <c:pt idx="4">
                  <c:v>34340.02192233703</c:v>
                </c:pt>
                <c:pt idx="5">
                  <c:v>34985.971922337027</c:v>
                </c:pt>
                <c:pt idx="6">
                  <c:v>35631.921922337024</c:v>
                </c:pt>
                <c:pt idx="7">
                  <c:v>36277.871922337021</c:v>
                </c:pt>
                <c:pt idx="8">
                  <c:v>36923.821922337018</c:v>
                </c:pt>
                <c:pt idx="9">
                  <c:v>37569.771922337015</c:v>
                </c:pt>
                <c:pt idx="10">
                  <c:v>38215.721922337012</c:v>
                </c:pt>
                <c:pt idx="11">
                  <c:v>38861.671922337009</c:v>
                </c:pt>
                <c:pt idx="12">
                  <c:v>39507.621922337006</c:v>
                </c:pt>
                <c:pt idx="13">
                  <c:v>40153.571922337003</c:v>
                </c:pt>
                <c:pt idx="14">
                  <c:v>40799.521922337</c:v>
                </c:pt>
                <c:pt idx="15">
                  <c:v>41445.471922336998</c:v>
                </c:pt>
                <c:pt idx="16">
                  <c:v>42091.421922336995</c:v>
                </c:pt>
                <c:pt idx="17">
                  <c:v>42737.371922336992</c:v>
                </c:pt>
                <c:pt idx="18">
                  <c:v>43383.321922336989</c:v>
                </c:pt>
                <c:pt idx="19">
                  <c:v>44029.271922336986</c:v>
                </c:pt>
                <c:pt idx="20">
                  <c:v>44675.221922336983</c:v>
                </c:pt>
                <c:pt idx="21">
                  <c:v>45321.17192233698</c:v>
                </c:pt>
                <c:pt idx="22">
                  <c:v>45967.121922336977</c:v>
                </c:pt>
                <c:pt idx="23">
                  <c:v>46613.071922336974</c:v>
                </c:pt>
                <c:pt idx="24">
                  <c:v>47259.021922336971</c:v>
                </c:pt>
                <c:pt idx="25">
                  <c:v>51409.971922336968</c:v>
                </c:pt>
                <c:pt idx="26">
                  <c:v>52055.921922336966</c:v>
                </c:pt>
                <c:pt idx="27">
                  <c:v>52701.871922336963</c:v>
                </c:pt>
                <c:pt idx="28">
                  <c:v>53347.82192233696</c:v>
                </c:pt>
                <c:pt idx="29">
                  <c:v>53993.771922336957</c:v>
                </c:pt>
                <c:pt idx="30">
                  <c:v>54639.721922336954</c:v>
                </c:pt>
                <c:pt idx="31">
                  <c:v>55285.671922336951</c:v>
                </c:pt>
                <c:pt idx="32">
                  <c:v>55931.621922336948</c:v>
                </c:pt>
                <c:pt idx="33">
                  <c:v>56577.571922336945</c:v>
                </c:pt>
                <c:pt idx="34">
                  <c:v>57223.521922336942</c:v>
                </c:pt>
                <c:pt idx="35">
                  <c:v>57869.471922336939</c:v>
                </c:pt>
                <c:pt idx="36">
                  <c:v>58515.421922336936</c:v>
                </c:pt>
                <c:pt idx="37">
                  <c:v>59161.371922336933</c:v>
                </c:pt>
                <c:pt idx="38">
                  <c:v>59807.321922336931</c:v>
                </c:pt>
                <c:pt idx="39">
                  <c:v>60453.271922336928</c:v>
                </c:pt>
                <c:pt idx="40">
                  <c:v>61099.221922336925</c:v>
                </c:pt>
                <c:pt idx="41">
                  <c:v>61745.171922336922</c:v>
                </c:pt>
                <c:pt idx="42">
                  <c:v>62391.121922336919</c:v>
                </c:pt>
                <c:pt idx="43">
                  <c:v>63037.071922336916</c:v>
                </c:pt>
                <c:pt idx="44">
                  <c:v>63683.021922336913</c:v>
                </c:pt>
                <c:pt idx="45">
                  <c:v>64328.97192233691</c:v>
                </c:pt>
                <c:pt idx="46">
                  <c:v>64974.921922336907</c:v>
                </c:pt>
                <c:pt idx="47">
                  <c:v>65620.871922336912</c:v>
                </c:pt>
                <c:pt idx="48">
                  <c:v>66266.821922336909</c:v>
                </c:pt>
                <c:pt idx="49">
                  <c:v>66912.771922336906</c:v>
                </c:pt>
                <c:pt idx="50">
                  <c:v>71063.721922336903</c:v>
                </c:pt>
                <c:pt idx="51">
                  <c:v>71709.6719223369</c:v>
                </c:pt>
                <c:pt idx="52">
                  <c:v>72355.621922336897</c:v>
                </c:pt>
                <c:pt idx="53">
                  <c:v>73001.571922336894</c:v>
                </c:pt>
                <c:pt idx="54">
                  <c:v>73647.521922336891</c:v>
                </c:pt>
                <c:pt idx="55">
                  <c:v>74293.471922336888</c:v>
                </c:pt>
                <c:pt idx="56">
                  <c:v>74939.421922336885</c:v>
                </c:pt>
                <c:pt idx="57">
                  <c:v>75585.371922336883</c:v>
                </c:pt>
                <c:pt idx="58">
                  <c:v>76231.32192233688</c:v>
                </c:pt>
                <c:pt idx="59">
                  <c:v>76877.271922336877</c:v>
                </c:pt>
                <c:pt idx="60">
                  <c:v>77523.221922336874</c:v>
                </c:pt>
                <c:pt idx="61">
                  <c:v>78169.171922336871</c:v>
                </c:pt>
                <c:pt idx="62">
                  <c:v>78815.121922336868</c:v>
                </c:pt>
                <c:pt idx="63">
                  <c:v>79461.071922336865</c:v>
                </c:pt>
                <c:pt idx="64">
                  <c:v>80107.021922336862</c:v>
                </c:pt>
                <c:pt idx="65">
                  <c:v>80752.971922336859</c:v>
                </c:pt>
                <c:pt idx="66">
                  <c:v>81398.921922336856</c:v>
                </c:pt>
                <c:pt idx="67">
                  <c:v>82044.871922336853</c:v>
                </c:pt>
                <c:pt idx="68">
                  <c:v>82690.821922336851</c:v>
                </c:pt>
                <c:pt idx="69">
                  <c:v>83336.771922336848</c:v>
                </c:pt>
                <c:pt idx="70">
                  <c:v>83982.721922336845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9BE-4ECC-B1F2-9484DA8B04D6}"/>
            </c:ext>
          </c:extLst>
        </c:ser>
        <c:ser>
          <c:idx val="3"/>
          <c:order val="5"/>
          <c:tx>
            <c:v>HEC PH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'EC over time (CZ8)'!$E$6:$E$76</c:f>
              <c:numCache>
                <c:formatCode>0.00</c:formatCode>
                <c:ptCount val="71"/>
                <c:pt idx="0">
                  <c:v>58723.31192233703</c:v>
                </c:pt>
                <c:pt idx="1">
                  <c:v>59369.261922337027</c:v>
                </c:pt>
                <c:pt idx="2">
                  <c:v>60015.211922337025</c:v>
                </c:pt>
                <c:pt idx="3">
                  <c:v>60661.161922337022</c:v>
                </c:pt>
                <c:pt idx="4">
                  <c:v>61307.111922337019</c:v>
                </c:pt>
                <c:pt idx="5">
                  <c:v>61953.061922337016</c:v>
                </c:pt>
                <c:pt idx="6">
                  <c:v>62599.011922337013</c:v>
                </c:pt>
                <c:pt idx="7">
                  <c:v>63244.96192233701</c:v>
                </c:pt>
                <c:pt idx="8">
                  <c:v>63890.911922337007</c:v>
                </c:pt>
                <c:pt idx="9">
                  <c:v>64536.861922337004</c:v>
                </c:pt>
                <c:pt idx="10">
                  <c:v>65182.811922337001</c:v>
                </c:pt>
                <c:pt idx="11">
                  <c:v>65828.761922336998</c:v>
                </c:pt>
                <c:pt idx="12">
                  <c:v>66474.711922336995</c:v>
                </c:pt>
                <c:pt idx="13">
                  <c:v>67120.661922336993</c:v>
                </c:pt>
                <c:pt idx="14">
                  <c:v>67766.61192233699</c:v>
                </c:pt>
                <c:pt idx="15">
                  <c:v>68412.561922336987</c:v>
                </c:pt>
                <c:pt idx="16">
                  <c:v>69058.511922336984</c:v>
                </c:pt>
                <c:pt idx="17">
                  <c:v>69704.461922336981</c:v>
                </c:pt>
                <c:pt idx="18">
                  <c:v>70350.411922336978</c:v>
                </c:pt>
                <c:pt idx="19">
                  <c:v>70996.361922336975</c:v>
                </c:pt>
                <c:pt idx="20">
                  <c:v>71642.311922336972</c:v>
                </c:pt>
                <c:pt idx="21">
                  <c:v>72288.261922336969</c:v>
                </c:pt>
                <c:pt idx="22">
                  <c:v>72934.211922336966</c:v>
                </c:pt>
                <c:pt idx="23">
                  <c:v>73580.161922336963</c:v>
                </c:pt>
                <c:pt idx="24">
                  <c:v>74226.111922336961</c:v>
                </c:pt>
                <c:pt idx="25">
                  <c:v>78377.061922336958</c:v>
                </c:pt>
                <c:pt idx="26">
                  <c:v>79023.011922336955</c:v>
                </c:pt>
                <c:pt idx="27">
                  <c:v>79668.961922336952</c:v>
                </c:pt>
                <c:pt idx="28">
                  <c:v>80314.911922336949</c:v>
                </c:pt>
                <c:pt idx="29">
                  <c:v>80960.861922336946</c:v>
                </c:pt>
                <c:pt idx="30">
                  <c:v>81606.811922336943</c:v>
                </c:pt>
                <c:pt idx="31">
                  <c:v>82252.76192233694</c:v>
                </c:pt>
                <c:pt idx="32">
                  <c:v>82898.711922336937</c:v>
                </c:pt>
                <c:pt idx="33">
                  <c:v>83544.661922336934</c:v>
                </c:pt>
                <c:pt idx="34">
                  <c:v>84190.611922336931</c:v>
                </c:pt>
                <c:pt idx="35">
                  <c:v>84836.561922336929</c:v>
                </c:pt>
                <c:pt idx="36">
                  <c:v>85482.511922336926</c:v>
                </c:pt>
                <c:pt idx="37">
                  <c:v>86128.461922336923</c:v>
                </c:pt>
                <c:pt idx="38">
                  <c:v>86774.41192233692</c:v>
                </c:pt>
                <c:pt idx="39">
                  <c:v>87420.361922336917</c:v>
                </c:pt>
                <c:pt idx="40">
                  <c:v>88066.311922336914</c:v>
                </c:pt>
                <c:pt idx="41">
                  <c:v>88712.261922336911</c:v>
                </c:pt>
                <c:pt idx="42">
                  <c:v>89358.211922336908</c:v>
                </c:pt>
                <c:pt idx="43">
                  <c:v>90004.161922336905</c:v>
                </c:pt>
                <c:pt idx="44">
                  <c:v>90650.111922336902</c:v>
                </c:pt>
                <c:pt idx="45">
                  <c:v>91296.061922336899</c:v>
                </c:pt>
                <c:pt idx="46">
                  <c:v>91942.011922336897</c:v>
                </c:pt>
                <c:pt idx="47">
                  <c:v>92587.961922336894</c:v>
                </c:pt>
                <c:pt idx="48">
                  <c:v>93233.911922336891</c:v>
                </c:pt>
                <c:pt idx="49">
                  <c:v>93879.861922336888</c:v>
                </c:pt>
                <c:pt idx="50">
                  <c:v>98030.811922336885</c:v>
                </c:pt>
                <c:pt idx="51">
                  <c:v>98676.761922336882</c:v>
                </c:pt>
                <c:pt idx="52">
                  <c:v>99322.711922336879</c:v>
                </c:pt>
                <c:pt idx="53">
                  <c:v>99968.661922336876</c:v>
                </c:pt>
                <c:pt idx="54">
                  <c:v>100614.61192233687</c:v>
                </c:pt>
                <c:pt idx="55">
                  <c:v>101260.56192233687</c:v>
                </c:pt>
                <c:pt idx="56">
                  <c:v>101906.51192233687</c:v>
                </c:pt>
                <c:pt idx="57">
                  <c:v>102552.46192233686</c:v>
                </c:pt>
                <c:pt idx="58">
                  <c:v>103198.41192233686</c:v>
                </c:pt>
                <c:pt idx="59">
                  <c:v>103844.36192233686</c:v>
                </c:pt>
                <c:pt idx="60">
                  <c:v>104490.31192233686</c:v>
                </c:pt>
                <c:pt idx="61">
                  <c:v>105136.26192233685</c:v>
                </c:pt>
                <c:pt idx="62">
                  <c:v>105782.21192233685</c:v>
                </c:pt>
                <c:pt idx="63">
                  <c:v>106428.16192233685</c:v>
                </c:pt>
                <c:pt idx="64">
                  <c:v>107074.11192233684</c:v>
                </c:pt>
                <c:pt idx="65">
                  <c:v>107720.06192233684</c:v>
                </c:pt>
                <c:pt idx="66">
                  <c:v>108366.01192233684</c:v>
                </c:pt>
                <c:pt idx="67">
                  <c:v>109011.96192233684</c:v>
                </c:pt>
                <c:pt idx="68">
                  <c:v>109657.91192233683</c:v>
                </c:pt>
                <c:pt idx="69">
                  <c:v>110303.86192233683</c:v>
                </c:pt>
                <c:pt idx="70">
                  <c:v>110949.81192233683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9BE-4ECC-B1F2-9484DA8B04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9307088"/>
        <c:axId val="899303760"/>
      </c:lineChart>
      <c:catAx>
        <c:axId val="8993070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b="1"/>
                  <a:t>Years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9303760"/>
        <c:crosses val="autoZero"/>
        <c:auto val="1"/>
        <c:lblAlgn val="ctr"/>
        <c:lblOffset val="100"/>
        <c:noMultiLvlLbl val="0"/>
      </c:catAx>
      <c:valAx>
        <c:axId val="899303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b="1"/>
                  <a:t>kg</a:t>
                </a:r>
                <a:r>
                  <a:rPr lang="en-CA" b="1" baseline="0"/>
                  <a:t> CO2e</a:t>
                </a:r>
                <a:endParaRPr lang="en-C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9307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3160019696270691E-2"/>
          <c:y val="0.14718442621450564"/>
          <c:w val="0.13950889759294494"/>
          <c:h val="0.193966874830301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800" b="1"/>
              <a:t>Total Carbon</a:t>
            </a:r>
            <a:r>
              <a:rPr lang="en-CA" sz="1800" b="1" baseline="0"/>
              <a:t> Over Time (Climate Zone 6)</a:t>
            </a:r>
            <a:endParaRPr lang="en-CA" sz="1800" b="1"/>
          </a:p>
        </c:rich>
      </c:tx>
      <c:layout>
        <c:manualLayout>
          <c:xMode val="edge"/>
          <c:yMode val="edge"/>
          <c:x val="0.34797104291216152"/>
          <c:y val="6.53054738194334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561102346468187E-2"/>
          <c:y val="4.1254349020325945E-2"/>
          <c:w val="0.91948988673283749"/>
          <c:h val="0.89468857717737049"/>
        </c:manualLayout>
      </c:layout>
      <c:lineChart>
        <c:grouping val="standard"/>
        <c:varyColors val="0"/>
        <c:ser>
          <c:idx val="4"/>
          <c:order val="0"/>
          <c:tx>
            <c:v>Base with Gas Furnace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'EC over time (CZ6)'!$F$6:$F$29</c:f>
              <c:numCache>
                <c:formatCode>General</c:formatCode>
                <c:ptCount val="24"/>
                <c:pt idx="0">
                  <c:v>1200</c:v>
                </c:pt>
                <c:pt idx="1">
                  <c:v>10073.030000000001</c:v>
                </c:pt>
                <c:pt idx="2">
                  <c:v>18946.060000000001</c:v>
                </c:pt>
                <c:pt idx="3">
                  <c:v>27819.090000000004</c:v>
                </c:pt>
                <c:pt idx="4">
                  <c:v>36692.120000000003</c:v>
                </c:pt>
                <c:pt idx="5">
                  <c:v>45565.15</c:v>
                </c:pt>
                <c:pt idx="6">
                  <c:v>54438.18</c:v>
                </c:pt>
                <c:pt idx="7">
                  <c:v>63311.21</c:v>
                </c:pt>
                <c:pt idx="8">
                  <c:v>72184.240000000005</c:v>
                </c:pt>
                <c:pt idx="9">
                  <c:v>81057.27</c:v>
                </c:pt>
                <c:pt idx="10">
                  <c:v>89930.3</c:v>
                </c:pt>
                <c:pt idx="11">
                  <c:v>98803.33</c:v>
                </c:pt>
                <c:pt idx="12">
                  <c:v>107676.36</c:v>
                </c:pt>
                <c:pt idx="13">
                  <c:v>116549.39</c:v>
                </c:pt>
                <c:pt idx="14">
                  <c:v>125422.42</c:v>
                </c:pt>
                <c:pt idx="15">
                  <c:v>134295.45000000001</c:v>
                </c:pt>
                <c:pt idx="16">
                  <c:v>143168.48000000001</c:v>
                </c:pt>
                <c:pt idx="17">
                  <c:v>152041.51</c:v>
                </c:pt>
                <c:pt idx="18">
                  <c:v>160914.54</c:v>
                </c:pt>
                <c:pt idx="19">
                  <c:v>169787.57</c:v>
                </c:pt>
                <c:pt idx="20">
                  <c:v>178660.6</c:v>
                </c:pt>
                <c:pt idx="21">
                  <c:v>187533.63</c:v>
                </c:pt>
                <c:pt idx="22">
                  <c:v>196406.66</c:v>
                </c:pt>
                <c:pt idx="23">
                  <c:v>205279.69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BE-4D75-9DAE-2ACB2F25C1FF}"/>
            </c:ext>
          </c:extLst>
        </c:ser>
        <c:ser>
          <c:idx val="0"/>
          <c:order val="1"/>
          <c:tx>
            <c:v>Base with Baseboard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'EC over time (CZ6)'!$B$6:$B$76</c:f>
              <c:numCache>
                <c:formatCode>General</c:formatCode>
                <c:ptCount val="71"/>
                <c:pt idx="0">
                  <c:v>100</c:v>
                </c:pt>
                <c:pt idx="1">
                  <c:v>2613.4299999999998</c:v>
                </c:pt>
                <c:pt idx="2">
                  <c:v>5126.8599999999997</c:v>
                </c:pt>
                <c:pt idx="3">
                  <c:v>7640.2899999999991</c:v>
                </c:pt>
                <c:pt idx="4">
                  <c:v>10153.719999999999</c:v>
                </c:pt>
                <c:pt idx="5">
                  <c:v>12667.15</c:v>
                </c:pt>
                <c:pt idx="6">
                  <c:v>15180.58</c:v>
                </c:pt>
                <c:pt idx="7">
                  <c:v>17694.009999999998</c:v>
                </c:pt>
                <c:pt idx="8">
                  <c:v>20207.439999999999</c:v>
                </c:pt>
                <c:pt idx="9">
                  <c:v>22720.87</c:v>
                </c:pt>
                <c:pt idx="10">
                  <c:v>25234.3</c:v>
                </c:pt>
                <c:pt idx="11">
                  <c:v>27747.73</c:v>
                </c:pt>
                <c:pt idx="12">
                  <c:v>30261.16</c:v>
                </c:pt>
                <c:pt idx="13">
                  <c:v>32774.589999999997</c:v>
                </c:pt>
                <c:pt idx="14">
                  <c:v>35288.019999999997</c:v>
                </c:pt>
                <c:pt idx="15">
                  <c:v>37801.449999999997</c:v>
                </c:pt>
                <c:pt idx="16">
                  <c:v>40314.879999999997</c:v>
                </c:pt>
                <c:pt idx="17">
                  <c:v>42828.31</c:v>
                </c:pt>
                <c:pt idx="18">
                  <c:v>45341.74</c:v>
                </c:pt>
                <c:pt idx="19">
                  <c:v>47855.17</c:v>
                </c:pt>
                <c:pt idx="20">
                  <c:v>50368.6</c:v>
                </c:pt>
                <c:pt idx="21">
                  <c:v>52882.03</c:v>
                </c:pt>
                <c:pt idx="22">
                  <c:v>55395.46</c:v>
                </c:pt>
                <c:pt idx="23">
                  <c:v>57908.89</c:v>
                </c:pt>
                <c:pt idx="24">
                  <c:v>60422.32</c:v>
                </c:pt>
                <c:pt idx="25">
                  <c:v>62935.75</c:v>
                </c:pt>
                <c:pt idx="26">
                  <c:v>65449.18</c:v>
                </c:pt>
                <c:pt idx="27">
                  <c:v>67962.61</c:v>
                </c:pt>
                <c:pt idx="28">
                  <c:v>70476.039999999994</c:v>
                </c:pt>
                <c:pt idx="29">
                  <c:v>72989.469999999987</c:v>
                </c:pt>
                <c:pt idx="30">
                  <c:v>75502.89999999998</c:v>
                </c:pt>
                <c:pt idx="31">
                  <c:v>78016.329999999973</c:v>
                </c:pt>
                <c:pt idx="32">
                  <c:v>80529.759999999966</c:v>
                </c:pt>
                <c:pt idx="33">
                  <c:v>83043.189999999959</c:v>
                </c:pt>
                <c:pt idx="34">
                  <c:v>85556.619999999952</c:v>
                </c:pt>
                <c:pt idx="35">
                  <c:v>88070.049999999945</c:v>
                </c:pt>
                <c:pt idx="36">
                  <c:v>90583.479999999938</c:v>
                </c:pt>
                <c:pt idx="37">
                  <c:v>93096.909999999931</c:v>
                </c:pt>
                <c:pt idx="38">
                  <c:v>95610.339999999924</c:v>
                </c:pt>
                <c:pt idx="39">
                  <c:v>98123.769999999917</c:v>
                </c:pt>
                <c:pt idx="40">
                  <c:v>100637.19999999991</c:v>
                </c:pt>
                <c:pt idx="41">
                  <c:v>103150.6299999999</c:v>
                </c:pt>
                <c:pt idx="42">
                  <c:v>105664.0599999999</c:v>
                </c:pt>
                <c:pt idx="43">
                  <c:v>108177.48999999989</c:v>
                </c:pt>
                <c:pt idx="44">
                  <c:v>110690.91999999988</c:v>
                </c:pt>
                <c:pt idx="45">
                  <c:v>113204.34999999987</c:v>
                </c:pt>
                <c:pt idx="46">
                  <c:v>115717.77999999987</c:v>
                </c:pt>
                <c:pt idx="47">
                  <c:v>118231.20999999986</c:v>
                </c:pt>
                <c:pt idx="48">
                  <c:v>120744.63999999985</c:v>
                </c:pt>
                <c:pt idx="49">
                  <c:v>123258.06999999985</c:v>
                </c:pt>
                <c:pt idx="50">
                  <c:v>125771.49999999984</c:v>
                </c:pt>
                <c:pt idx="51">
                  <c:v>128284.92999999983</c:v>
                </c:pt>
                <c:pt idx="52">
                  <c:v>130798.35999999983</c:v>
                </c:pt>
                <c:pt idx="53">
                  <c:v>133311.78999999983</c:v>
                </c:pt>
                <c:pt idx="54">
                  <c:v>135825.21999999983</c:v>
                </c:pt>
                <c:pt idx="55">
                  <c:v>138338.64999999982</c:v>
                </c:pt>
                <c:pt idx="56">
                  <c:v>140852.07999999981</c:v>
                </c:pt>
                <c:pt idx="57">
                  <c:v>143365.50999999981</c:v>
                </c:pt>
                <c:pt idx="58">
                  <c:v>145878.9399999998</c:v>
                </c:pt>
                <c:pt idx="59">
                  <c:v>148392.36999999979</c:v>
                </c:pt>
                <c:pt idx="60">
                  <c:v>150905.79999999978</c:v>
                </c:pt>
                <c:pt idx="61">
                  <c:v>153419.22999999978</c:v>
                </c:pt>
                <c:pt idx="62">
                  <c:v>155932.65999999977</c:v>
                </c:pt>
                <c:pt idx="63">
                  <c:v>158446.08999999976</c:v>
                </c:pt>
                <c:pt idx="64">
                  <c:v>160959.51999999976</c:v>
                </c:pt>
                <c:pt idx="65">
                  <c:v>163472.94999999975</c:v>
                </c:pt>
                <c:pt idx="66">
                  <c:v>165986.37999999974</c:v>
                </c:pt>
                <c:pt idx="67">
                  <c:v>168499.80999999974</c:v>
                </c:pt>
                <c:pt idx="68">
                  <c:v>171013.23999999973</c:v>
                </c:pt>
                <c:pt idx="69">
                  <c:v>173526.66999999972</c:v>
                </c:pt>
                <c:pt idx="70">
                  <c:v>176040.09999999971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BE-4D75-9DAE-2ACB2F25C1FF}"/>
            </c:ext>
          </c:extLst>
        </c:ser>
        <c:ser>
          <c:idx val="5"/>
          <c:order val="2"/>
          <c:tx>
            <c:v>Base with ASHP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'EC over time (CZ6)'!$G$6:$G$76</c:f>
              <c:numCache>
                <c:formatCode>General</c:formatCode>
                <c:ptCount val="71"/>
                <c:pt idx="0">
                  <c:v>20640</c:v>
                </c:pt>
                <c:pt idx="1">
                  <c:v>22941.46</c:v>
                </c:pt>
                <c:pt idx="2">
                  <c:v>25242.92</c:v>
                </c:pt>
                <c:pt idx="3">
                  <c:v>27544.379999999997</c:v>
                </c:pt>
                <c:pt idx="4">
                  <c:v>29845.839999999997</c:v>
                </c:pt>
                <c:pt idx="5">
                  <c:v>32147.299999999996</c:v>
                </c:pt>
                <c:pt idx="6">
                  <c:v>34448.759999999995</c:v>
                </c:pt>
                <c:pt idx="7">
                  <c:v>36750.219999999994</c:v>
                </c:pt>
                <c:pt idx="8">
                  <c:v>39051.679999999993</c:v>
                </c:pt>
                <c:pt idx="9">
                  <c:v>41353.139999999992</c:v>
                </c:pt>
                <c:pt idx="10">
                  <c:v>43654.599999999991</c:v>
                </c:pt>
                <c:pt idx="11">
                  <c:v>45956.05999999999</c:v>
                </c:pt>
                <c:pt idx="12">
                  <c:v>48257.51999999999</c:v>
                </c:pt>
                <c:pt idx="13">
                  <c:v>50558.979999999989</c:v>
                </c:pt>
                <c:pt idx="14">
                  <c:v>52860.439999999988</c:v>
                </c:pt>
                <c:pt idx="15">
                  <c:v>55161.899999999987</c:v>
                </c:pt>
                <c:pt idx="16">
                  <c:v>57463.359999999986</c:v>
                </c:pt>
                <c:pt idx="17">
                  <c:v>59764.819999999985</c:v>
                </c:pt>
                <c:pt idx="18">
                  <c:v>62066.279999999984</c:v>
                </c:pt>
                <c:pt idx="19">
                  <c:v>64367.739999999983</c:v>
                </c:pt>
                <c:pt idx="20">
                  <c:v>66669.199999999983</c:v>
                </c:pt>
                <c:pt idx="21">
                  <c:v>68970.659999999989</c:v>
                </c:pt>
                <c:pt idx="22">
                  <c:v>71272.12</c:v>
                </c:pt>
                <c:pt idx="23">
                  <c:v>73573.58</c:v>
                </c:pt>
                <c:pt idx="24">
                  <c:v>75875.040000000008</c:v>
                </c:pt>
                <c:pt idx="25">
                  <c:v>98816.500000000015</c:v>
                </c:pt>
                <c:pt idx="26">
                  <c:v>101117.96000000002</c:v>
                </c:pt>
                <c:pt idx="27">
                  <c:v>103419.42000000003</c:v>
                </c:pt>
                <c:pt idx="28">
                  <c:v>105720.88000000003</c:v>
                </c:pt>
                <c:pt idx="29">
                  <c:v>108022.34000000004</c:v>
                </c:pt>
                <c:pt idx="30">
                  <c:v>110323.80000000005</c:v>
                </c:pt>
                <c:pt idx="31">
                  <c:v>112625.26000000005</c:v>
                </c:pt>
                <c:pt idx="32">
                  <c:v>114926.72000000006</c:v>
                </c:pt>
                <c:pt idx="33">
                  <c:v>117228.18000000007</c:v>
                </c:pt>
                <c:pt idx="34">
                  <c:v>119529.64000000007</c:v>
                </c:pt>
                <c:pt idx="35">
                  <c:v>121831.10000000008</c:v>
                </c:pt>
                <c:pt idx="36">
                  <c:v>124132.56000000008</c:v>
                </c:pt>
                <c:pt idx="37">
                  <c:v>126434.02000000009</c:v>
                </c:pt>
                <c:pt idx="38">
                  <c:v>128735.4800000001</c:v>
                </c:pt>
                <c:pt idx="39">
                  <c:v>131036.9400000001</c:v>
                </c:pt>
                <c:pt idx="40">
                  <c:v>133338.40000000011</c:v>
                </c:pt>
                <c:pt idx="41">
                  <c:v>135639.8600000001</c:v>
                </c:pt>
                <c:pt idx="42">
                  <c:v>137941.32000000009</c:v>
                </c:pt>
                <c:pt idx="43">
                  <c:v>140242.78000000009</c:v>
                </c:pt>
                <c:pt idx="44">
                  <c:v>142544.24000000008</c:v>
                </c:pt>
                <c:pt idx="45">
                  <c:v>144845.70000000007</c:v>
                </c:pt>
                <c:pt idx="46">
                  <c:v>147147.16000000006</c:v>
                </c:pt>
                <c:pt idx="47">
                  <c:v>149448.62000000005</c:v>
                </c:pt>
                <c:pt idx="48">
                  <c:v>151750.08000000005</c:v>
                </c:pt>
                <c:pt idx="49">
                  <c:v>154051.54000000004</c:v>
                </c:pt>
                <c:pt idx="50">
                  <c:v>176993.00000000003</c:v>
                </c:pt>
                <c:pt idx="51">
                  <c:v>179294.46000000002</c:v>
                </c:pt>
                <c:pt idx="52">
                  <c:v>181595.92</c:v>
                </c:pt>
                <c:pt idx="53">
                  <c:v>183897.38</c:v>
                </c:pt>
                <c:pt idx="54">
                  <c:v>186198.84</c:v>
                </c:pt>
                <c:pt idx="55">
                  <c:v>188500.3</c:v>
                </c:pt>
                <c:pt idx="56">
                  <c:v>190801.75999999998</c:v>
                </c:pt>
                <c:pt idx="57">
                  <c:v>193103.21999999997</c:v>
                </c:pt>
                <c:pt idx="58">
                  <c:v>195404.67999999996</c:v>
                </c:pt>
                <c:pt idx="59">
                  <c:v>197706.13999999996</c:v>
                </c:pt>
                <c:pt idx="60">
                  <c:v>200007.59999999995</c:v>
                </c:pt>
                <c:pt idx="61">
                  <c:v>202309.05999999994</c:v>
                </c:pt>
                <c:pt idx="62">
                  <c:v>204610.51999999993</c:v>
                </c:pt>
                <c:pt idx="63">
                  <c:v>206911.97999999992</c:v>
                </c:pt>
                <c:pt idx="64">
                  <c:v>209213.43999999992</c:v>
                </c:pt>
                <c:pt idx="65">
                  <c:v>211514.89999999991</c:v>
                </c:pt>
                <c:pt idx="66">
                  <c:v>213816.3599999999</c:v>
                </c:pt>
                <c:pt idx="67">
                  <c:v>216117.81999999989</c:v>
                </c:pt>
                <c:pt idx="68">
                  <c:v>218419.27999999988</c:v>
                </c:pt>
                <c:pt idx="69">
                  <c:v>220720.73999999987</c:v>
                </c:pt>
                <c:pt idx="70">
                  <c:v>223022.19999999987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0BE-4D75-9DAE-2ACB2F25C1FF}"/>
            </c:ext>
          </c:extLst>
        </c:ser>
        <c:ser>
          <c:idx val="1"/>
          <c:order val="3"/>
          <c:tx>
            <c:v>Retrofit with ASHP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'EC over time (CZ6)'!$C$6:$C$76</c:f>
              <c:numCache>
                <c:formatCode>General</c:formatCode>
                <c:ptCount val="71"/>
                <c:pt idx="0">
                  <c:v>15230.73</c:v>
                </c:pt>
                <c:pt idx="1">
                  <c:v>16961.96</c:v>
                </c:pt>
                <c:pt idx="2">
                  <c:v>18693.189999999999</c:v>
                </c:pt>
                <c:pt idx="3">
                  <c:v>20424.419999999998</c:v>
                </c:pt>
                <c:pt idx="4">
                  <c:v>22155.649999999998</c:v>
                </c:pt>
                <c:pt idx="5">
                  <c:v>23886.879999999997</c:v>
                </c:pt>
                <c:pt idx="6">
                  <c:v>25618.109999999997</c:v>
                </c:pt>
                <c:pt idx="7">
                  <c:v>27349.339999999997</c:v>
                </c:pt>
                <c:pt idx="8">
                  <c:v>29080.569999999996</c:v>
                </c:pt>
                <c:pt idx="9">
                  <c:v>30811.799999999996</c:v>
                </c:pt>
                <c:pt idx="10">
                  <c:v>32543.029999999995</c:v>
                </c:pt>
                <c:pt idx="11">
                  <c:v>34274.259999999995</c:v>
                </c:pt>
                <c:pt idx="12">
                  <c:v>36005.49</c:v>
                </c:pt>
                <c:pt idx="13">
                  <c:v>37736.720000000001</c:v>
                </c:pt>
                <c:pt idx="14">
                  <c:v>39467.950000000004</c:v>
                </c:pt>
                <c:pt idx="15">
                  <c:v>41199.180000000008</c:v>
                </c:pt>
                <c:pt idx="16">
                  <c:v>42930.410000000011</c:v>
                </c:pt>
                <c:pt idx="17">
                  <c:v>44661.640000000014</c:v>
                </c:pt>
                <c:pt idx="18">
                  <c:v>46392.870000000017</c:v>
                </c:pt>
                <c:pt idx="19">
                  <c:v>48124.10000000002</c:v>
                </c:pt>
                <c:pt idx="20">
                  <c:v>49855.330000000024</c:v>
                </c:pt>
                <c:pt idx="21">
                  <c:v>51586.560000000027</c:v>
                </c:pt>
                <c:pt idx="22">
                  <c:v>53317.79000000003</c:v>
                </c:pt>
                <c:pt idx="23">
                  <c:v>55049.020000000033</c:v>
                </c:pt>
                <c:pt idx="24">
                  <c:v>56780.250000000036</c:v>
                </c:pt>
                <c:pt idx="25">
                  <c:v>71484.48000000004</c:v>
                </c:pt>
                <c:pt idx="26">
                  <c:v>73215.710000000036</c:v>
                </c:pt>
                <c:pt idx="27">
                  <c:v>74946.940000000031</c:v>
                </c:pt>
                <c:pt idx="28">
                  <c:v>76678.170000000027</c:v>
                </c:pt>
                <c:pt idx="29">
                  <c:v>78409.400000000023</c:v>
                </c:pt>
                <c:pt idx="30">
                  <c:v>80140.630000000019</c:v>
                </c:pt>
                <c:pt idx="31">
                  <c:v>81871.860000000015</c:v>
                </c:pt>
                <c:pt idx="32">
                  <c:v>83603.090000000011</c:v>
                </c:pt>
                <c:pt idx="33">
                  <c:v>85334.32</c:v>
                </c:pt>
                <c:pt idx="34">
                  <c:v>87065.55</c:v>
                </c:pt>
                <c:pt idx="35">
                  <c:v>88796.78</c:v>
                </c:pt>
                <c:pt idx="36">
                  <c:v>90528.01</c:v>
                </c:pt>
                <c:pt idx="37">
                  <c:v>92259.239999999991</c:v>
                </c:pt>
                <c:pt idx="38">
                  <c:v>93990.469999999987</c:v>
                </c:pt>
                <c:pt idx="39">
                  <c:v>95721.699999999983</c:v>
                </c:pt>
                <c:pt idx="40">
                  <c:v>97452.929999999978</c:v>
                </c:pt>
                <c:pt idx="41">
                  <c:v>99184.159999999974</c:v>
                </c:pt>
                <c:pt idx="42">
                  <c:v>100915.38999999997</c:v>
                </c:pt>
                <c:pt idx="43">
                  <c:v>102646.61999999997</c:v>
                </c:pt>
                <c:pt idx="44">
                  <c:v>104377.84999999996</c:v>
                </c:pt>
                <c:pt idx="45">
                  <c:v>106109.07999999996</c:v>
                </c:pt>
                <c:pt idx="46">
                  <c:v>107840.30999999995</c:v>
                </c:pt>
                <c:pt idx="47">
                  <c:v>109571.53999999995</c:v>
                </c:pt>
                <c:pt idx="48">
                  <c:v>111302.76999999995</c:v>
                </c:pt>
                <c:pt idx="49">
                  <c:v>113033.99999999994</c:v>
                </c:pt>
                <c:pt idx="50">
                  <c:v>127738.22999999994</c:v>
                </c:pt>
                <c:pt idx="51">
                  <c:v>129469.45999999993</c:v>
                </c:pt>
                <c:pt idx="52">
                  <c:v>131200.68999999994</c:v>
                </c:pt>
                <c:pt idx="53">
                  <c:v>132931.91999999995</c:v>
                </c:pt>
                <c:pt idx="54">
                  <c:v>134663.14999999997</c:v>
                </c:pt>
                <c:pt idx="55">
                  <c:v>136394.37999999998</c:v>
                </c:pt>
                <c:pt idx="56">
                  <c:v>138125.60999999999</c:v>
                </c:pt>
                <c:pt idx="57">
                  <c:v>139856.84</c:v>
                </c:pt>
                <c:pt idx="58">
                  <c:v>141588.07</c:v>
                </c:pt>
                <c:pt idx="59">
                  <c:v>143319.30000000002</c:v>
                </c:pt>
                <c:pt idx="60">
                  <c:v>145050.53000000003</c:v>
                </c:pt>
                <c:pt idx="61">
                  <c:v>146781.76000000004</c:v>
                </c:pt>
                <c:pt idx="62">
                  <c:v>148512.99000000005</c:v>
                </c:pt>
                <c:pt idx="63">
                  <c:v>150244.22000000006</c:v>
                </c:pt>
                <c:pt idx="64">
                  <c:v>151975.45000000007</c:v>
                </c:pt>
                <c:pt idx="65">
                  <c:v>153706.68000000008</c:v>
                </c:pt>
                <c:pt idx="66">
                  <c:v>155437.91000000009</c:v>
                </c:pt>
                <c:pt idx="67">
                  <c:v>157169.1400000001</c:v>
                </c:pt>
                <c:pt idx="68">
                  <c:v>158900.37000000011</c:v>
                </c:pt>
                <c:pt idx="69">
                  <c:v>160631.60000000012</c:v>
                </c:pt>
                <c:pt idx="70">
                  <c:v>162362.83000000013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0BE-4D75-9DAE-2ACB2F25C1FF}"/>
            </c:ext>
          </c:extLst>
        </c:ser>
        <c:ser>
          <c:idx val="2"/>
          <c:order val="4"/>
          <c:tx>
            <c:v>LEC PH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'EC over time (CZ6)'!$D$6:$D$76</c:f>
              <c:numCache>
                <c:formatCode>0.00</c:formatCode>
                <c:ptCount val="71"/>
                <c:pt idx="0">
                  <c:v>31756.221922337034</c:v>
                </c:pt>
                <c:pt idx="1">
                  <c:v>32252.421922337035</c:v>
                </c:pt>
                <c:pt idx="2">
                  <c:v>32748.621922337035</c:v>
                </c:pt>
                <c:pt idx="3">
                  <c:v>33244.821922337032</c:v>
                </c:pt>
                <c:pt idx="4">
                  <c:v>33741.02192233703</c:v>
                </c:pt>
                <c:pt idx="5">
                  <c:v>34237.221922337027</c:v>
                </c:pt>
                <c:pt idx="6">
                  <c:v>34733.421922337024</c:v>
                </c:pt>
                <c:pt idx="7">
                  <c:v>35229.621922337021</c:v>
                </c:pt>
                <c:pt idx="8">
                  <c:v>35725.821922337018</c:v>
                </c:pt>
                <c:pt idx="9">
                  <c:v>36222.021922337015</c:v>
                </c:pt>
                <c:pt idx="10">
                  <c:v>36718.221922337012</c:v>
                </c:pt>
                <c:pt idx="11">
                  <c:v>37214.421922337009</c:v>
                </c:pt>
                <c:pt idx="12">
                  <c:v>37710.621922337006</c:v>
                </c:pt>
                <c:pt idx="13">
                  <c:v>38206.821922337003</c:v>
                </c:pt>
                <c:pt idx="14">
                  <c:v>38703.021922337</c:v>
                </c:pt>
                <c:pt idx="15">
                  <c:v>39199.221922336998</c:v>
                </c:pt>
                <c:pt idx="16">
                  <c:v>39695.421922336995</c:v>
                </c:pt>
                <c:pt idx="17">
                  <c:v>40191.621922336992</c:v>
                </c:pt>
                <c:pt idx="18">
                  <c:v>40687.821922336989</c:v>
                </c:pt>
                <c:pt idx="19">
                  <c:v>41184.021922336986</c:v>
                </c:pt>
                <c:pt idx="20">
                  <c:v>41680.221922336983</c:v>
                </c:pt>
                <c:pt idx="21">
                  <c:v>42176.42192233698</c:v>
                </c:pt>
                <c:pt idx="22">
                  <c:v>42672.621922336977</c:v>
                </c:pt>
                <c:pt idx="23">
                  <c:v>43168.821922336974</c:v>
                </c:pt>
                <c:pt idx="24">
                  <c:v>43665.021922336971</c:v>
                </c:pt>
                <c:pt idx="25">
                  <c:v>47666.221922336968</c:v>
                </c:pt>
                <c:pt idx="26">
                  <c:v>48162.421922336966</c:v>
                </c:pt>
                <c:pt idx="27">
                  <c:v>48658.621922336963</c:v>
                </c:pt>
                <c:pt idx="28">
                  <c:v>49154.82192233696</c:v>
                </c:pt>
                <c:pt idx="29">
                  <c:v>49651.021922336957</c:v>
                </c:pt>
                <c:pt idx="30">
                  <c:v>50147.221922336954</c:v>
                </c:pt>
                <c:pt idx="31">
                  <c:v>50643.421922336951</c:v>
                </c:pt>
                <c:pt idx="32">
                  <c:v>51139.621922336948</c:v>
                </c:pt>
                <c:pt idx="33">
                  <c:v>51635.821922336945</c:v>
                </c:pt>
                <c:pt idx="34">
                  <c:v>52132.021922336942</c:v>
                </c:pt>
                <c:pt idx="35">
                  <c:v>52628.221922336939</c:v>
                </c:pt>
                <c:pt idx="36">
                  <c:v>53124.421922336936</c:v>
                </c:pt>
                <c:pt idx="37">
                  <c:v>53620.621922336933</c:v>
                </c:pt>
                <c:pt idx="38">
                  <c:v>54116.821922336931</c:v>
                </c:pt>
                <c:pt idx="39">
                  <c:v>54613.021922336928</c:v>
                </c:pt>
                <c:pt idx="40">
                  <c:v>55109.221922336925</c:v>
                </c:pt>
                <c:pt idx="41">
                  <c:v>55605.421922336922</c:v>
                </c:pt>
                <c:pt idx="42">
                  <c:v>56101.621922336919</c:v>
                </c:pt>
                <c:pt idx="43">
                  <c:v>56597.821922336916</c:v>
                </c:pt>
                <c:pt idx="44">
                  <c:v>57094.021922336913</c:v>
                </c:pt>
                <c:pt idx="45">
                  <c:v>57590.22192233691</c:v>
                </c:pt>
                <c:pt idx="46">
                  <c:v>58086.421922336907</c:v>
                </c:pt>
                <c:pt idx="47">
                  <c:v>58582.621922336904</c:v>
                </c:pt>
                <c:pt idx="48">
                  <c:v>59078.821922336901</c:v>
                </c:pt>
                <c:pt idx="49">
                  <c:v>59575.021922336899</c:v>
                </c:pt>
                <c:pt idx="50">
                  <c:v>63576.221922336896</c:v>
                </c:pt>
                <c:pt idx="51">
                  <c:v>64072.421922336893</c:v>
                </c:pt>
                <c:pt idx="52">
                  <c:v>64568.62192233689</c:v>
                </c:pt>
                <c:pt idx="53">
                  <c:v>65064.821922336887</c:v>
                </c:pt>
                <c:pt idx="54">
                  <c:v>65561.021922336891</c:v>
                </c:pt>
                <c:pt idx="55">
                  <c:v>66057.221922336888</c:v>
                </c:pt>
                <c:pt idx="56">
                  <c:v>66553.421922336885</c:v>
                </c:pt>
                <c:pt idx="57">
                  <c:v>67049.621922336883</c:v>
                </c:pt>
                <c:pt idx="58">
                  <c:v>67545.82192233688</c:v>
                </c:pt>
                <c:pt idx="59">
                  <c:v>68042.021922336877</c:v>
                </c:pt>
                <c:pt idx="60">
                  <c:v>68538.221922336874</c:v>
                </c:pt>
                <c:pt idx="61">
                  <c:v>69034.421922336871</c:v>
                </c:pt>
                <c:pt idx="62">
                  <c:v>69530.621922336868</c:v>
                </c:pt>
                <c:pt idx="63">
                  <c:v>70026.821922336865</c:v>
                </c:pt>
                <c:pt idx="64">
                  <c:v>70523.021922336862</c:v>
                </c:pt>
                <c:pt idx="65">
                  <c:v>71019.221922336859</c:v>
                </c:pt>
                <c:pt idx="66">
                  <c:v>71515.421922336856</c:v>
                </c:pt>
                <c:pt idx="67">
                  <c:v>72011.621922336853</c:v>
                </c:pt>
                <c:pt idx="68">
                  <c:v>72507.821922336851</c:v>
                </c:pt>
                <c:pt idx="69">
                  <c:v>73004.021922336848</c:v>
                </c:pt>
                <c:pt idx="70">
                  <c:v>73500.221922336845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0BE-4D75-9DAE-2ACB2F25C1FF}"/>
            </c:ext>
          </c:extLst>
        </c:ser>
        <c:ser>
          <c:idx val="3"/>
          <c:order val="5"/>
          <c:tx>
            <c:v>HEC PH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'EC over time (CZ6)'!$E$6:$E$76</c:f>
              <c:numCache>
                <c:formatCode>0.00</c:formatCode>
                <c:ptCount val="71"/>
                <c:pt idx="0">
                  <c:v>58723.31192233703</c:v>
                </c:pt>
                <c:pt idx="1">
                  <c:v>59219.511922337027</c:v>
                </c:pt>
                <c:pt idx="2">
                  <c:v>59715.711922337025</c:v>
                </c:pt>
                <c:pt idx="3">
                  <c:v>60211.911922337022</c:v>
                </c:pt>
                <c:pt idx="4">
                  <c:v>60708.111922337019</c:v>
                </c:pt>
                <c:pt idx="5">
                  <c:v>61204.311922337016</c:v>
                </c:pt>
                <c:pt idx="6">
                  <c:v>61700.511922337013</c:v>
                </c:pt>
                <c:pt idx="7">
                  <c:v>62196.71192233701</c:v>
                </c:pt>
                <c:pt idx="8">
                  <c:v>62692.911922337007</c:v>
                </c:pt>
                <c:pt idx="9">
                  <c:v>63189.111922337004</c:v>
                </c:pt>
                <c:pt idx="10">
                  <c:v>63685.311922337001</c:v>
                </c:pt>
                <c:pt idx="11">
                  <c:v>64181.511922336998</c:v>
                </c:pt>
                <c:pt idx="12">
                  <c:v>64677.711922336995</c:v>
                </c:pt>
                <c:pt idx="13">
                  <c:v>65173.911922336993</c:v>
                </c:pt>
                <c:pt idx="14">
                  <c:v>65670.11192233699</c:v>
                </c:pt>
                <c:pt idx="15">
                  <c:v>66166.311922336987</c:v>
                </c:pt>
                <c:pt idx="16">
                  <c:v>66662.511922336984</c:v>
                </c:pt>
                <c:pt idx="17">
                  <c:v>67158.711922336981</c:v>
                </c:pt>
                <c:pt idx="18">
                  <c:v>67654.911922336978</c:v>
                </c:pt>
                <c:pt idx="19">
                  <c:v>68151.111922336975</c:v>
                </c:pt>
                <c:pt idx="20">
                  <c:v>68647.311922336972</c:v>
                </c:pt>
                <c:pt idx="21">
                  <c:v>69143.511922336969</c:v>
                </c:pt>
                <c:pt idx="22">
                  <c:v>69639.711922336966</c:v>
                </c:pt>
                <c:pt idx="23">
                  <c:v>70135.911922336963</c:v>
                </c:pt>
                <c:pt idx="24">
                  <c:v>70632.111922336961</c:v>
                </c:pt>
                <c:pt idx="25">
                  <c:v>74633.311922336958</c:v>
                </c:pt>
                <c:pt idx="26">
                  <c:v>75129.511922336955</c:v>
                </c:pt>
                <c:pt idx="27">
                  <c:v>75625.711922336952</c:v>
                </c:pt>
                <c:pt idx="28">
                  <c:v>76121.911922336949</c:v>
                </c:pt>
                <c:pt idx="29">
                  <c:v>76618.111922336946</c:v>
                </c:pt>
                <c:pt idx="30">
                  <c:v>77114.311922336943</c:v>
                </c:pt>
                <c:pt idx="31">
                  <c:v>77610.51192233694</c:v>
                </c:pt>
                <c:pt idx="32">
                  <c:v>78106.711922336937</c:v>
                </c:pt>
                <c:pt idx="33">
                  <c:v>78602.911922336934</c:v>
                </c:pt>
                <c:pt idx="34">
                  <c:v>79099.111922336931</c:v>
                </c:pt>
                <c:pt idx="35">
                  <c:v>79595.311922336929</c:v>
                </c:pt>
                <c:pt idx="36">
                  <c:v>80091.511922336926</c:v>
                </c:pt>
                <c:pt idx="37">
                  <c:v>80587.711922336923</c:v>
                </c:pt>
                <c:pt idx="38">
                  <c:v>81083.91192233692</c:v>
                </c:pt>
                <c:pt idx="39">
                  <c:v>81580.111922336917</c:v>
                </c:pt>
                <c:pt idx="40">
                  <c:v>82076.311922336914</c:v>
                </c:pt>
                <c:pt idx="41">
                  <c:v>82572.511922336911</c:v>
                </c:pt>
                <c:pt idx="42">
                  <c:v>83068.711922336908</c:v>
                </c:pt>
                <c:pt idx="43">
                  <c:v>83564.911922336905</c:v>
                </c:pt>
                <c:pt idx="44">
                  <c:v>84061.111922336902</c:v>
                </c:pt>
                <c:pt idx="45">
                  <c:v>84557.311922336899</c:v>
                </c:pt>
                <c:pt idx="46">
                  <c:v>85053.511922336897</c:v>
                </c:pt>
                <c:pt idx="47">
                  <c:v>85549.711922336894</c:v>
                </c:pt>
                <c:pt idx="48">
                  <c:v>86045.911922336891</c:v>
                </c:pt>
                <c:pt idx="49">
                  <c:v>86542.111922336888</c:v>
                </c:pt>
                <c:pt idx="50">
                  <c:v>90543.311922336885</c:v>
                </c:pt>
                <c:pt idx="51">
                  <c:v>91039.511922336882</c:v>
                </c:pt>
                <c:pt idx="52">
                  <c:v>91535.711922336879</c:v>
                </c:pt>
                <c:pt idx="53">
                  <c:v>92031.911922336876</c:v>
                </c:pt>
                <c:pt idx="54">
                  <c:v>92528.111922336873</c:v>
                </c:pt>
                <c:pt idx="55">
                  <c:v>93024.31192233687</c:v>
                </c:pt>
                <c:pt idx="56">
                  <c:v>93520.511922336867</c:v>
                </c:pt>
                <c:pt idx="57">
                  <c:v>94016.711922336865</c:v>
                </c:pt>
                <c:pt idx="58">
                  <c:v>94512.911922336862</c:v>
                </c:pt>
                <c:pt idx="59">
                  <c:v>95009.111922336859</c:v>
                </c:pt>
                <c:pt idx="60">
                  <c:v>95505.311922336856</c:v>
                </c:pt>
                <c:pt idx="61">
                  <c:v>96001.511922336853</c:v>
                </c:pt>
                <c:pt idx="62">
                  <c:v>96497.71192233685</c:v>
                </c:pt>
                <c:pt idx="63">
                  <c:v>96993.911922336847</c:v>
                </c:pt>
                <c:pt idx="64">
                  <c:v>97490.111922336844</c:v>
                </c:pt>
                <c:pt idx="65">
                  <c:v>97986.311922336841</c:v>
                </c:pt>
                <c:pt idx="66">
                  <c:v>98482.511922336838</c:v>
                </c:pt>
                <c:pt idx="67">
                  <c:v>98978.711922336835</c:v>
                </c:pt>
                <c:pt idx="68">
                  <c:v>99474.911922336833</c:v>
                </c:pt>
                <c:pt idx="69">
                  <c:v>99971.11192233683</c:v>
                </c:pt>
                <c:pt idx="70">
                  <c:v>100467.31192233683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0BE-4D75-9DAE-2ACB2F25C1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9307088"/>
        <c:axId val="899303760"/>
      </c:lineChart>
      <c:catAx>
        <c:axId val="8993070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b="1"/>
                  <a:t>Years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9303760"/>
        <c:crosses val="autoZero"/>
        <c:auto val="1"/>
        <c:lblAlgn val="ctr"/>
        <c:lblOffset val="100"/>
        <c:noMultiLvlLbl val="0"/>
      </c:catAx>
      <c:valAx>
        <c:axId val="899303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b="1"/>
                  <a:t>kg</a:t>
                </a:r>
                <a:r>
                  <a:rPr lang="en-CA" b="1" baseline="0"/>
                  <a:t> CO2e</a:t>
                </a:r>
                <a:endParaRPr lang="en-C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9307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274933135341731"/>
          <c:y val="0.67531084050540191"/>
          <c:w val="0.13950889759294494"/>
          <c:h val="0.193966874830301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800" b="1"/>
              <a:t>Total</a:t>
            </a:r>
            <a:r>
              <a:rPr lang="en-CA" sz="1800" b="1" baseline="0"/>
              <a:t> </a:t>
            </a:r>
            <a:r>
              <a:rPr lang="en-CA" sz="1800" b="1"/>
              <a:t>Carbon</a:t>
            </a:r>
            <a:r>
              <a:rPr lang="en-CA" sz="1800" b="1" baseline="0"/>
              <a:t> Over Time (Climate Zone 4)</a:t>
            </a:r>
            <a:endParaRPr lang="en-CA" sz="1800" b="1"/>
          </a:p>
        </c:rich>
      </c:tx>
      <c:layout>
        <c:manualLayout>
          <c:xMode val="edge"/>
          <c:yMode val="edge"/>
          <c:x val="0.34797104291216152"/>
          <c:y val="6.53054738194334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561102346468187E-2"/>
          <c:y val="4.1254349020325945E-2"/>
          <c:w val="0.91948988673283749"/>
          <c:h val="0.89468857717737049"/>
        </c:manualLayout>
      </c:layout>
      <c:lineChart>
        <c:grouping val="standard"/>
        <c:varyColors val="0"/>
        <c:ser>
          <c:idx val="4"/>
          <c:order val="0"/>
          <c:tx>
            <c:v>Base with Gas Furnace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'EC over time (CZ4)'!$F$6:$F$29</c:f>
              <c:numCache>
                <c:formatCode>General</c:formatCode>
                <c:ptCount val="24"/>
                <c:pt idx="0">
                  <c:v>1200</c:v>
                </c:pt>
                <c:pt idx="1">
                  <c:v>6430.97</c:v>
                </c:pt>
                <c:pt idx="2">
                  <c:v>11661.94</c:v>
                </c:pt>
                <c:pt idx="3">
                  <c:v>16892.91</c:v>
                </c:pt>
                <c:pt idx="4">
                  <c:v>22123.88</c:v>
                </c:pt>
                <c:pt idx="5">
                  <c:v>27354.850000000002</c:v>
                </c:pt>
                <c:pt idx="6">
                  <c:v>32585.820000000003</c:v>
                </c:pt>
                <c:pt idx="7">
                  <c:v>37816.79</c:v>
                </c:pt>
                <c:pt idx="8">
                  <c:v>43047.76</c:v>
                </c:pt>
                <c:pt idx="9">
                  <c:v>48278.73</c:v>
                </c:pt>
                <c:pt idx="10">
                  <c:v>53509.700000000004</c:v>
                </c:pt>
                <c:pt idx="11">
                  <c:v>58740.670000000006</c:v>
                </c:pt>
                <c:pt idx="12">
                  <c:v>63971.640000000007</c:v>
                </c:pt>
                <c:pt idx="13">
                  <c:v>69202.61</c:v>
                </c:pt>
                <c:pt idx="14">
                  <c:v>74433.58</c:v>
                </c:pt>
                <c:pt idx="15">
                  <c:v>79664.55</c:v>
                </c:pt>
                <c:pt idx="16">
                  <c:v>84895.52</c:v>
                </c:pt>
                <c:pt idx="17">
                  <c:v>90126.49</c:v>
                </c:pt>
                <c:pt idx="18">
                  <c:v>95357.46</c:v>
                </c:pt>
                <c:pt idx="19">
                  <c:v>100588.43000000001</c:v>
                </c:pt>
                <c:pt idx="20">
                  <c:v>105819.40000000001</c:v>
                </c:pt>
                <c:pt idx="21">
                  <c:v>111050.37000000001</c:v>
                </c:pt>
                <c:pt idx="22">
                  <c:v>116281.34000000001</c:v>
                </c:pt>
                <c:pt idx="23">
                  <c:v>121512.31000000001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7C-49FA-A885-7E2E5E73CA7E}"/>
            </c:ext>
          </c:extLst>
        </c:ser>
        <c:ser>
          <c:idx val="0"/>
          <c:order val="1"/>
          <c:tx>
            <c:v>Base with Baseboard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'EC over time (CZ4)'!$B$6:$B$76</c:f>
              <c:numCache>
                <c:formatCode>General</c:formatCode>
                <c:ptCount val="71"/>
                <c:pt idx="0">
                  <c:v>100</c:v>
                </c:pt>
                <c:pt idx="1">
                  <c:v>1841.58</c:v>
                </c:pt>
                <c:pt idx="2">
                  <c:v>3583.16</c:v>
                </c:pt>
                <c:pt idx="3">
                  <c:v>5324.74</c:v>
                </c:pt>
                <c:pt idx="4">
                  <c:v>7066.32</c:v>
                </c:pt>
                <c:pt idx="5">
                  <c:v>8807.9</c:v>
                </c:pt>
                <c:pt idx="6">
                  <c:v>10549.48</c:v>
                </c:pt>
                <c:pt idx="7">
                  <c:v>12291.06</c:v>
                </c:pt>
                <c:pt idx="8">
                  <c:v>14032.64</c:v>
                </c:pt>
                <c:pt idx="9">
                  <c:v>15774.22</c:v>
                </c:pt>
                <c:pt idx="10">
                  <c:v>17515.8</c:v>
                </c:pt>
                <c:pt idx="11">
                  <c:v>19257.379999999997</c:v>
                </c:pt>
                <c:pt idx="12">
                  <c:v>20998.959999999999</c:v>
                </c:pt>
                <c:pt idx="13">
                  <c:v>22740.54</c:v>
                </c:pt>
                <c:pt idx="14">
                  <c:v>24482.120000000003</c:v>
                </c:pt>
                <c:pt idx="15">
                  <c:v>26223.700000000004</c:v>
                </c:pt>
                <c:pt idx="16">
                  <c:v>27965.280000000006</c:v>
                </c:pt>
                <c:pt idx="17">
                  <c:v>29706.860000000008</c:v>
                </c:pt>
                <c:pt idx="18">
                  <c:v>31448.44000000001</c:v>
                </c:pt>
                <c:pt idx="19">
                  <c:v>33190.020000000011</c:v>
                </c:pt>
                <c:pt idx="20">
                  <c:v>34931.600000000013</c:v>
                </c:pt>
                <c:pt idx="21">
                  <c:v>36673.180000000015</c:v>
                </c:pt>
                <c:pt idx="22">
                  <c:v>38414.760000000017</c:v>
                </c:pt>
                <c:pt idx="23">
                  <c:v>40156.340000000018</c:v>
                </c:pt>
                <c:pt idx="24">
                  <c:v>41897.92000000002</c:v>
                </c:pt>
                <c:pt idx="25">
                  <c:v>43639.500000000022</c:v>
                </c:pt>
                <c:pt idx="26">
                  <c:v>45381.080000000024</c:v>
                </c:pt>
                <c:pt idx="27">
                  <c:v>47122.660000000025</c:v>
                </c:pt>
                <c:pt idx="28">
                  <c:v>48864.240000000027</c:v>
                </c:pt>
                <c:pt idx="29">
                  <c:v>50605.820000000029</c:v>
                </c:pt>
                <c:pt idx="30">
                  <c:v>52347.400000000031</c:v>
                </c:pt>
                <c:pt idx="31">
                  <c:v>54088.980000000032</c:v>
                </c:pt>
                <c:pt idx="32">
                  <c:v>55830.560000000034</c:v>
                </c:pt>
                <c:pt idx="33">
                  <c:v>57572.140000000036</c:v>
                </c:pt>
                <c:pt idx="34">
                  <c:v>59313.720000000038</c:v>
                </c:pt>
                <c:pt idx="35">
                  <c:v>61055.300000000039</c:v>
                </c:pt>
                <c:pt idx="36">
                  <c:v>62796.880000000041</c:v>
                </c:pt>
                <c:pt idx="37">
                  <c:v>64538.460000000043</c:v>
                </c:pt>
                <c:pt idx="38">
                  <c:v>66280.040000000037</c:v>
                </c:pt>
                <c:pt idx="39">
                  <c:v>68021.620000000039</c:v>
                </c:pt>
                <c:pt idx="40">
                  <c:v>69763.200000000041</c:v>
                </c:pt>
                <c:pt idx="41">
                  <c:v>71504.780000000042</c:v>
                </c:pt>
                <c:pt idx="42">
                  <c:v>73246.360000000044</c:v>
                </c:pt>
                <c:pt idx="43">
                  <c:v>74987.940000000046</c:v>
                </c:pt>
                <c:pt idx="44">
                  <c:v>76729.520000000048</c:v>
                </c:pt>
                <c:pt idx="45">
                  <c:v>78471.100000000049</c:v>
                </c:pt>
                <c:pt idx="46">
                  <c:v>80212.680000000051</c:v>
                </c:pt>
                <c:pt idx="47">
                  <c:v>81954.260000000053</c:v>
                </c:pt>
                <c:pt idx="48">
                  <c:v>83695.840000000055</c:v>
                </c:pt>
                <c:pt idx="49">
                  <c:v>85437.420000000056</c:v>
                </c:pt>
                <c:pt idx="50">
                  <c:v>87179.000000000058</c:v>
                </c:pt>
                <c:pt idx="51">
                  <c:v>88920.58000000006</c:v>
                </c:pt>
                <c:pt idx="52">
                  <c:v>90662.160000000062</c:v>
                </c:pt>
                <c:pt idx="53">
                  <c:v>92403.740000000063</c:v>
                </c:pt>
                <c:pt idx="54">
                  <c:v>94145.320000000065</c:v>
                </c:pt>
                <c:pt idx="55">
                  <c:v>95886.900000000067</c:v>
                </c:pt>
                <c:pt idx="56">
                  <c:v>97628.480000000069</c:v>
                </c:pt>
                <c:pt idx="57">
                  <c:v>99370.06000000007</c:v>
                </c:pt>
                <c:pt idx="58">
                  <c:v>101111.64000000007</c:v>
                </c:pt>
                <c:pt idx="59">
                  <c:v>102853.22000000007</c:v>
                </c:pt>
                <c:pt idx="60">
                  <c:v>104594.80000000008</c:v>
                </c:pt>
                <c:pt idx="61">
                  <c:v>106336.38000000008</c:v>
                </c:pt>
                <c:pt idx="62">
                  <c:v>108077.96000000008</c:v>
                </c:pt>
                <c:pt idx="63">
                  <c:v>109819.54000000008</c:v>
                </c:pt>
                <c:pt idx="64">
                  <c:v>111561.12000000008</c:v>
                </c:pt>
                <c:pt idx="65">
                  <c:v>113302.70000000008</c:v>
                </c:pt>
                <c:pt idx="66">
                  <c:v>115044.28000000009</c:v>
                </c:pt>
                <c:pt idx="67">
                  <c:v>116785.86000000009</c:v>
                </c:pt>
                <c:pt idx="68">
                  <c:v>118527.44000000009</c:v>
                </c:pt>
                <c:pt idx="69">
                  <c:v>120269.02000000009</c:v>
                </c:pt>
                <c:pt idx="70">
                  <c:v>122010.60000000009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CE-451B-8996-16F0276E102E}"/>
            </c:ext>
          </c:extLst>
        </c:ser>
        <c:ser>
          <c:idx val="5"/>
          <c:order val="2"/>
          <c:tx>
            <c:v>Base with ASHP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'EC over time (CZ4)'!$G$6:$G$76</c:f>
              <c:numCache>
                <c:formatCode>General</c:formatCode>
                <c:ptCount val="71"/>
                <c:pt idx="0">
                  <c:v>12973</c:v>
                </c:pt>
                <c:pt idx="1">
                  <c:v>14192.73</c:v>
                </c:pt>
                <c:pt idx="2">
                  <c:v>15412.46</c:v>
                </c:pt>
                <c:pt idx="3">
                  <c:v>16632.189999999999</c:v>
                </c:pt>
                <c:pt idx="4">
                  <c:v>17851.919999999998</c:v>
                </c:pt>
                <c:pt idx="5">
                  <c:v>19071.649999999998</c:v>
                </c:pt>
                <c:pt idx="6">
                  <c:v>20291.379999999997</c:v>
                </c:pt>
                <c:pt idx="7">
                  <c:v>21511.109999999997</c:v>
                </c:pt>
                <c:pt idx="8">
                  <c:v>22730.839999999997</c:v>
                </c:pt>
                <c:pt idx="9">
                  <c:v>23950.569999999996</c:v>
                </c:pt>
                <c:pt idx="10">
                  <c:v>25170.299999999996</c:v>
                </c:pt>
                <c:pt idx="11">
                  <c:v>26390.029999999995</c:v>
                </c:pt>
                <c:pt idx="12">
                  <c:v>27609.759999999995</c:v>
                </c:pt>
                <c:pt idx="13">
                  <c:v>28829.489999999994</c:v>
                </c:pt>
                <c:pt idx="14">
                  <c:v>30049.219999999994</c:v>
                </c:pt>
                <c:pt idx="15">
                  <c:v>31268.949999999993</c:v>
                </c:pt>
                <c:pt idx="16">
                  <c:v>32488.679999999993</c:v>
                </c:pt>
                <c:pt idx="17">
                  <c:v>33708.409999999996</c:v>
                </c:pt>
                <c:pt idx="18">
                  <c:v>34928.14</c:v>
                </c:pt>
                <c:pt idx="19">
                  <c:v>36147.870000000003</c:v>
                </c:pt>
                <c:pt idx="20">
                  <c:v>37367.600000000006</c:v>
                </c:pt>
                <c:pt idx="21">
                  <c:v>38587.330000000009</c:v>
                </c:pt>
                <c:pt idx="22">
                  <c:v>39807.060000000012</c:v>
                </c:pt>
                <c:pt idx="23">
                  <c:v>41026.790000000015</c:v>
                </c:pt>
                <c:pt idx="24">
                  <c:v>42246.520000000019</c:v>
                </c:pt>
                <c:pt idx="25">
                  <c:v>56439.250000000022</c:v>
                </c:pt>
                <c:pt idx="26">
                  <c:v>57658.980000000025</c:v>
                </c:pt>
                <c:pt idx="27">
                  <c:v>58878.710000000028</c:v>
                </c:pt>
                <c:pt idx="28">
                  <c:v>60098.440000000031</c:v>
                </c:pt>
                <c:pt idx="29">
                  <c:v>61318.170000000035</c:v>
                </c:pt>
                <c:pt idx="30">
                  <c:v>62537.900000000038</c:v>
                </c:pt>
                <c:pt idx="31">
                  <c:v>63757.630000000041</c:v>
                </c:pt>
                <c:pt idx="32">
                  <c:v>64977.360000000044</c:v>
                </c:pt>
                <c:pt idx="33">
                  <c:v>66197.09000000004</c:v>
                </c:pt>
                <c:pt idx="34">
                  <c:v>67416.820000000036</c:v>
                </c:pt>
                <c:pt idx="35">
                  <c:v>68636.550000000032</c:v>
                </c:pt>
                <c:pt idx="36">
                  <c:v>69856.280000000028</c:v>
                </c:pt>
                <c:pt idx="37">
                  <c:v>71076.010000000024</c:v>
                </c:pt>
                <c:pt idx="38">
                  <c:v>72295.74000000002</c:v>
                </c:pt>
                <c:pt idx="39">
                  <c:v>73515.470000000016</c:v>
                </c:pt>
                <c:pt idx="40">
                  <c:v>74735.200000000012</c:v>
                </c:pt>
                <c:pt idx="41">
                  <c:v>75954.930000000008</c:v>
                </c:pt>
                <c:pt idx="42">
                  <c:v>77174.66</c:v>
                </c:pt>
                <c:pt idx="43">
                  <c:v>78394.39</c:v>
                </c:pt>
                <c:pt idx="44">
                  <c:v>79614.12</c:v>
                </c:pt>
                <c:pt idx="45">
                  <c:v>80833.849999999991</c:v>
                </c:pt>
                <c:pt idx="46">
                  <c:v>82053.579999999987</c:v>
                </c:pt>
                <c:pt idx="47">
                  <c:v>83273.309999999983</c:v>
                </c:pt>
                <c:pt idx="48">
                  <c:v>84493.039999999979</c:v>
                </c:pt>
                <c:pt idx="49">
                  <c:v>85712.769999999975</c:v>
                </c:pt>
                <c:pt idx="50">
                  <c:v>99905.499999999971</c:v>
                </c:pt>
                <c:pt idx="51">
                  <c:v>101125.22999999997</c:v>
                </c:pt>
                <c:pt idx="52">
                  <c:v>102344.95999999996</c:v>
                </c:pt>
                <c:pt idx="53">
                  <c:v>103564.68999999996</c:v>
                </c:pt>
                <c:pt idx="54">
                  <c:v>104784.41999999995</c:v>
                </c:pt>
                <c:pt idx="55">
                  <c:v>106004.14999999995</c:v>
                </c:pt>
                <c:pt idx="56">
                  <c:v>107223.87999999995</c:v>
                </c:pt>
                <c:pt idx="57">
                  <c:v>108443.60999999994</c:v>
                </c:pt>
                <c:pt idx="58">
                  <c:v>109663.33999999994</c:v>
                </c:pt>
                <c:pt idx="59">
                  <c:v>110883.06999999993</c:v>
                </c:pt>
                <c:pt idx="60">
                  <c:v>112102.79999999993</c:v>
                </c:pt>
                <c:pt idx="61">
                  <c:v>113322.52999999993</c:v>
                </c:pt>
                <c:pt idx="62">
                  <c:v>114542.25999999992</c:v>
                </c:pt>
                <c:pt idx="63">
                  <c:v>115761.98999999992</c:v>
                </c:pt>
                <c:pt idx="64">
                  <c:v>116981.71999999991</c:v>
                </c:pt>
                <c:pt idx="65">
                  <c:v>118201.44999999991</c:v>
                </c:pt>
                <c:pt idx="66">
                  <c:v>119421.17999999991</c:v>
                </c:pt>
                <c:pt idx="67">
                  <c:v>120640.9099999999</c:v>
                </c:pt>
                <c:pt idx="68">
                  <c:v>121860.6399999999</c:v>
                </c:pt>
                <c:pt idx="69">
                  <c:v>123080.36999999989</c:v>
                </c:pt>
                <c:pt idx="70">
                  <c:v>124300.09999999989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67C-49FA-A885-7E2E5E73CA7E}"/>
            </c:ext>
          </c:extLst>
        </c:ser>
        <c:ser>
          <c:idx val="1"/>
          <c:order val="3"/>
          <c:tx>
            <c:v>Retrofit with ASHP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'EC over time (CZ4)'!$C$6:$C$76</c:f>
              <c:numCache>
                <c:formatCode>General</c:formatCode>
                <c:ptCount val="71"/>
                <c:pt idx="0">
                  <c:v>10886.73</c:v>
                </c:pt>
                <c:pt idx="1">
                  <c:v>11919.039999999999</c:v>
                </c:pt>
                <c:pt idx="2">
                  <c:v>12951.349999999999</c:v>
                </c:pt>
                <c:pt idx="3">
                  <c:v>13983.659999999998</c:v>
                </c:pt>
                <c:pt idx="4">
                  <c:v>15015.969999999998</c:v>
                </c:pt>
                <c:pt idx="5">
                  <c:v>16048.279999999997</c:v>
                </c:pt>
                <c:pt idx="6">
                  <c:v>17080.589999999997</c:v>
                </c:pt>
                <c:pt idx="7">
                  <c:v>18112.899999999998</c:v>
                </c:pt>
                <c:pt idx="8">
                  <c:v>19145.21</c:v>
                </c:pt>
                <c:pt idx="9">
                  <c:v>20177.52</c:v>
                </c:pt>
                <c:pt idx="10">
                  <c:v>21209.83</c:v>
                </c:pt>
                <c:pt idx="11">
                  <c:v>22242.140000000003</c:v>
                </c:pt>
                <c:pt idx="12">
                  <c:v>23274.450000000004</c:v>
                </c:pt>
                <c:pt idx="13">
                  <c:v>24306.760000000006</c:v>
                </c:pt>
                <c:pt idx="14">
                  <c:v>25339.070000000007</c:v>
                </c:pt>
                <c:pt idx="15">
                  <c:v>26371.380000000008</c:v>
                </c:pt>
                <c:pt idx="16">
                  <c:v>27403.69000000001</c:v>
                </c:pt>
                <c:pt idx="17">
                  <c:v>28436.000000000011</c:v>
                </c:pt>
                <c:pt idx="18">
                  <c:v>29468.310000000012</c:v>
                </c:pt>
                <c:pt idx="19">
                  <c:v>30500.620000000014</c:v>
                </c:pt>
                <c:pt idx="20">
                  <c:v>31532.930000000015</c:v>
                </c:pt>
                <c:pt idx="21">
                  <c:v>32565.240000000016</c:v>
                </c:pt>
                <c:pt idx="22">
                  <c:v>33597.550000000017</c:v>
                </c:pt>
                <c:pt idx="23">
                  <c:v>34629.860000000015</c:v>
                </c:pt>
                <c:pt idx="24">
                  <c:v>35662.170000000013</c:v>
                </c:pt>
                <c:pt idx="25">
                  <c:v>45323.48000000001</c:v>
                </c:pt>
                <c:pt idx="26">
                  <c:v>46355.790000000008</c:v>
                </c:pt>
                <c:pt idx="27">
                  <c:v>47388.100000000006</c:v>
                </c:pt>
                <c:pt idx="28">
                  <c:v>48420.41</c:v>
                </c:pt>
                <c:pt idx="29">
                  <c:v>49452.72</c:v>
                </c:pt>
                <c:pt idx="30">
                  <c:v>50485.03</c:v>
                </c:pt>
                <c:pt idx="31">
                  <c:v>51517.34</c:v>
                </c:pt>
                <c:pt idx="32">
                  <c:v>52549.649999999994</c:v>
                </c:pt>
                <c:pt idx="33">
                  <c:v>53581.959999999992</c:v>
                </c:pt>
                <c:pt idx="34">
                  <c:v>54614.26999999999</c:v>
                </c:pt>
                <c:pt idx="35">
                  <c:v>55646.579999999987</c:v>
                </c:pt>
                <c:pt idx="36">
                  <c:v>56678.889999999985</c:v>
                </c:pt>
                <c:pt idx="37">
                  <c:v>57711.199999999983</c:v>
                </c:pt>
                <c:pt idx="38">
                  <c:v>58743.50999999998</c:v>
                </c:pt>
                <c:pt idx="39">
                  <c:v>59775.819999999978</c:v>
                </c:pt>
                <c:pt idx="40">
                  <c:v>60808.129999999976</c:v>
                </c:pt>
                <c:pt idx="41">
                  <c:v>61840.439999999973</c:v>
                </c:pt>
                <c:pt idx="42">
                  <c:v>62872.749999999971</c:v>
                </c:pt>
                <c:pt idx="43">
                  <c:v>63905.059999999969</c:v>
                </c:pt>
                <c:pt idx="44">
                  <c:v>64937.369999999966</c:v>
                </c:pt>
                <c:pt idx="45">
                  <c:v>65969.679999999964</c:v>
                </c:pt>
                <c:pt idx="46">
                  <c:v>67001.989999999962</c:v>
                </c:pt>
                <c:pt idx="47">
                  <c:v>68034.299999999959</c:v>
                </c:pt>
                <c:pt idx="48">
                  <c:v>69066.609999999957</c:v>
                </c:pt>
                <c:pt idx="49">
                  <c:v>70098.919999999955</c:v>
                </c:pt>
                <c:pt idx="50">
                  <c:v>79760.229999999952</c:v>
                </c:pt>
                <c:pt idx="51">
                  <c:v>80792.53999999995</c:v>
                </c:pt>
                <c:pt idx="52">
                  <c:v>81824.849999999948</c:v>
                </c:pt>
                <c:pt idx="53">
                  <c:v>82857.159999999945</c:v>
                </c:pt>
                <c:pt idx="54">
                  <c:v>83889.469999999943</c:v>
                </c:pt>
                <c:pt idx="55">
                  <c:v>84921.779999999941</c:v>
                </c:pt>
                <c:pt idx="56">
                  <c:v>85954.089999999938</c:v>
                </c:pt>
                <c:pt idx="57">
                  <c:v>86986.399999999936</c:v>
                </c:pt>
                <c:pt idx="58">
                  <c:v>88018.709999999934</c:v>
                </c:pt>
                <c:pt idx="59">
                  <c:v>89051.019999999931</c:v>
                </c:pt>
                <c:pt idx="60">
                  <c:v>90083.329999999929</c:v>
                </c:pt>
                <c:pt idx="61">
                  <c:v>91115.639999999927</c:v>
                </c:pt>
                <c:pt idx="62">
                  <c:v>92147.949999999924</c:v>
                </c:pt>
                <c:pt idx="63">
                  <c:v>93180.259999999922</c:v>
                </c:pt>
                <c:pt idx="64">
                  <c:v>94212.56999999992</c:v>
                </c:pt>
                <c:pt idx="65">
                  <c:v>95244.879999999917</c:v>
                </c:pt>
                <c:pt idx="66">
                  <c:v>96277.189999999915</c:v>
                </c:pt>
                <c:pt idx="67">
                  <c:v>97309.499999999913</c:v>
                </c:pt>
                <c:pt idx="68">
                  <c:v>98341.80999999991</c:v>
                </c:pt>
                <c:pt idx="69">
                  <c:v>99374.119999999908</c:v>
                </c:pt>
                <c:pt idx="70">
                  <c:v>100406.42999999991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ECE-451B-8996-16F0276E102E}"/>
            </c:ext>
          </c:extLst>
        </c:ser>
        <c:ser>
          <c:idx val="2"/>
          <c:order val="4"/>
          <c:tx>
            <c:v>LEC PH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'EC over time (CZ4)'!$D$6:$D$76</c:f>
              <c:numCache>
                <c:formatCode>0.00</c:formatCode>
                <c:ptCount val="71"/>
                <c:pt idx="0">
                  <c:v>31756.221922337034</c:v>
                </c:pt>
                <c:pt idx="1">
                  <c:v>32196.791922337034</c:v>
                </c:pt>
                <c:pt idx="2">
                  <c:v>32637.361922337033</c:v>
                </c:pt>
                <c:pt idx="3">
                  <c:v>33077.931922337033</c:v>
                </c:pt>
                <c:pt idx="4">
                  <c:v>33518.501922337033</c:v>
                </c:pt>
                <c:pt idx="5">
                  <c:v>33959.071922337032</c:v>
                </c:pt>
                <c:pt idx="6">
                  <c:v>34399.641922337032</c:v>
                </c:pt>
                <c:pt idx="7">
                  <c:v>34840.211922337032</c:v>
                </c:pt>
                <c:pt idx="8">
                  <c:v>35280.781922337032</c:v>
                </c:pt>
                <c:pt idx="9">
                  <c:v>35721.351922337031</c:v>
                </c:pt>
                <c:pt idx="10">
                  <c:v>36161.921922337031</c:v>
                </c:pt>
                <c:pt idx="11">
                  <c:v>36602.491922337031</c:v>
                </c:pt>
                <c:pt idx="12">
                  <c:v>37043.06192233703</c:v>
                </c:pt>
                <c:pt idx="13">
                  <c:v>37483.63192233703</c:v>
                </c:pt>
                <c:pt idx="14">
                  <c:v>37924.20192233703</c:v>
                </c:pt>
                <c:pt idx="15">
                  <c:v>38364.77192233703</c:v>
                </c:pt>
                <c:pt idx="16">
                  <c:v>38805.341922337029</c:v>
                </c:pt>
                <c:pt idx="17">
                  <c:v>39245.911922337029</c:v>
                </c:pt>
                <c:pt idx="18">
                  <c:v>39686.481922337029</c:v>
                </c:pt>
                <c:pt idx="19">
                  <c:v>40127.051922337028</c:v>
                </c:pt>
                <c:pt idx="20">
                  <c:v>40567.621922337028</c:v>
                </c:pt>
                <c:pt idx="21">
                  <c:v>41008.191922337028</c:v>
                </c:pt>
                <c:pt idx="22">
                  <c:v>41448.761922337027</c:v>
                </c:pt>
                <c:pt idx="23">
                  <c:v>41889.331922337027</c:v>
                </c:pt>
                <c:pt idx="24">
                  <c:v>42329.901922337027</c:v>
                </c:pt>
                <c:pt idx="25">
                  <c:v>46275.471922337027</c:v>
                </c:pt>
                <c:pt idx="26">
                  <c:v>46716.041922337026</c:v>
                </c:pt>
                <c:pt idx="27">
                  <c:v>47156.611922337026</c:v>
                </c:pt>
                <c:pt idx="28">
                  <c:v>47597.181922337026</c:v>
                </c:pt>
                <c:pt idx="29">
                  <c:v>48037.751922337025</c:v>
                </c:pt>
                <c:pt idx="30">
                  <c:v>48478.321922337025</c:v>
                </c:pt>
                <c:pt idx="31">
                  <c:v>48918.891922337025</c:v>
                </c:pt>
                <c:pt idx="32">
                  <c:v>49359.461922337025</c:v>
                </c:pt>
                <c:pt idx="33">
                  <c:v>49800.031922337024</c:v>
                </c:pt>
                <c:pt idx="34">
                  <c:v>50240.601922337024</c:v>
                </c:pt>
                <c:pt idx="35">
                  <c:v>50681.171922337024</c:v>
                </c:pt>
                <c:pt idx="36">
                  <c:v>51121.741922337023</c:v>
                </c:pt>
                <c:pt idx="37">
                  <c:v>51562.311922337023</c:v>
                </c:pt>
                <c:pt idx="38">
                  <c:v>52002.881922337023</c:v>
                </c:pt>
                <c:pt idx="39">
                  <c:v>52443.451922337023</c:v>
                </c:pt>
                <c:pt idx="40">
                  <c:v>52884.021922337022</c:v>
                </c:pt>
                <c:pt idx="41">
                  <c:v>53324.591922337022</c:v>
                </c:pt>
                <c:pt idx="42">
                  <c:v>53765.161922337022</c:v>
                </c:pt>
                <c:pt idx="43">
                  <c:v>54205.731922337021</c:v>
                </c:pt>
                <c:pt idx="44">
                  <c:v>54646.301922337021</c:v>
                </c:pt>
                <c:pt idx="45">
                  <c:v>55086.871922337021</c:v>
                </c:pt>
                <c:pt idx="46">
                  <c:v>55527.441922337021</c:v>
                </c:pt>
                <c:pt idx="47">
                  <c:v>55968.01192233702</c:v>
                </c:pt>
                <c:pt idx="48">
                  <c:v>56408.58192233702</c:v>
                </c:pt>
                <c:pt idx="49">
                  <c:v>56849.15192233702</c:v>
                </c:pt>
                <c:pt idx="50">
                  <c:v>60794.721922337019</c:v>
                </c:pt>
                <c:pt idx="51">
                  <c:v>61235.291922337019</c:v>
                </c:pt>
                <c:pt idx="52">
                  <c:v>61675.861922337019</c:v>
                </c:pt>
                <c:pt idx="53">
                  <c:v>62116.431922337018</c:v>
                </c:pt>
                <c:pt idx="54">
                  <c:v>62557.001922337018</c:v>
                </c:pt>
                <c:pt idx="55">
                  <c:v>62997.571922337018</c:v>
                </c:pt>
                <c:pt idx="56">
                  <c:v>63438.141922337018</c:v>
                </c:pt>
                <c:pt idx="57">
                  <c:v>63878.711922337017</c:v>
                </c:pt>
                <c:pt idx="58">
                  <c:v>64319.281922337017</c:v>
                </c:pt>
                <c:pt idx="59">
                  <c:v>64759.851922337017</c:v>
                </c:pt>
                <c:pt idx="60">
                  <c:v>65200.421922337016</c:v>
                </c:pt>
                <c:pt idx="61">
                  <c:v>65640.991922337023</c:v>
                </c:pt>
                <c:pt idx="62">
                  <c:v>66081.56192233703</c:v>
                </c:pt>
                <c:pt idx="63">
                  <c:v>66522.131922337037</c:v>
                </c:pt>
                <c:pt idx="64">
                  <c:v>66962.701922337044</c:v>
                </c:pt>
                <c:pt idx="65">
                  <c:v>67403.271922337051</c:v>
                </c:pt>
                <c:pt idx="66">
                  <c:v>67843.841922337058</c:v>
                </c:pt>
                <c:pt idx="67">
                  <c:v>68284.411922337065</c:v>
                </c:pt>
                <c:pt idx="68">
                  <c:v>68724.981922337072</c:v>
                </c:pt>
                <c:pt idx="69">
                  <c:v>69165.551922337079</c:v>
                </c:pt>
                <c:pt idx="70">
                  <c:v>69606.121922337086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ECE-451B-8996-16F0276E102E}"/>
            </c:ext>
          </c:extLst>
        </c:ser>
        <c:ser>
          <c:idx val="3"/>
          <c:order val="5"/>
          <c:tx>
            <c:v>HEC PH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'EC over time (CZ4)'!$E$6:$E$76</c:f>
              <c:numCache>
                <c:formatCode>0.00</c:formatCode>
                <c:ptCount val="71"/>
                <c:pt idx="0">
                  <c:v>58723.31192233703</c:v>
                </c:pt>
                <c:pt idx="1">
                  <c:v>59163.88192233703</c:v>
                </c:pt>
                <c:pt idx="2">
                  <c:v>59604.45192233703</c:v>
                </c:pt>
                <c:pt idx="3">
                  <c:v>60045.02192233703</c:v>
                </c:pt>
                <c:pt idx="4">
                  <c:v>60485.591922337029</c:v>
                </c:pt>
                <c:pt idx="5">
                  <c:v>60926.161922337029</c:v>
                </c:pt>
                <c:pt idx="6">
                  <c:v>61366.731922337029</c:v>
                </c:pt>
                <c:pt idx="7">
                  <c:v>61807.301922337028</c:v>
                </c:pt>
                <c:pt idx="8">
                  <c:v>62247.871922337028</c:v>
                </c:pt>
                <c:pt idx="9">
                  <c:v>62688.441922337028</c:v>
                </c:pt>
                <c:pt idx="10">
                  <c:v>63129.011922337027</c:v>
                </c:pt>
                <c:pt idx="11">
                  <c:v>63569.581922337027</c:v>
                </c:pt>
                <c:pt idx="12">
                  <c:v>64010.151922337027</c:v>
                </c:pt>
                <c:pt idx="13">
                  <c:v>64450.721922337027</c:v>
                </c:pt>
                <c:pt idx="14">
                  <c:v>64891.291922337026</c:v>
                </c:pt>
                <c:pt idx="15">
                  <c:v>65331.861922337026</c:v>
                </c:pt>
                <c:pt idx="16">
                  <c:v>65772.431922337026</c:v>
                </c:pt>
                <c:pt idx="17">
                  <c:v>66213.001922337033</c:v>
                </c:pt>
                <c:pt idx="18">
                  <c:v>66653.57192233704</c:v>
                </c:pt>
                <c:pt idx="19">
                  <c:v>67094.141922337047</c:v>
                </c:pt>
                <c:pt idx="20">
                  <c:v>67534.711922337054</c:v>
                </c:pt>
                <c:pt idx="21">
                  <c:v>67975.281922337061</c:v>
                </c:pt>
                <c:pt idx="22">
                  <c:v>68415.851922337068</c:v>
                </c:pt>
                <c:pt idx="23">
                  <c:v>68856.421922337075</c:v>
                </c:pt>
                <c:pt idx="24">
                  <c:v>69296.991922337082</c:v>
                </c:pt>
                <c:pt idx="25">
                  <c:v>73242.561922337089</c:v>
                </c:pt>
                <c:pt idx="26">
                  <c:v>73683.131922337096</c:v>
                </c:pt>
                <c:pt idx="27">
                  <c:v>74123.701922337103</c:v>
                </c:pt>
                <c:pt idx="28">
                  <c:v>74564.27192233711</c:v>
                </c:pt>
                <c:pt idx="29">
                  <c:v>75004.841922337117</c:v>
                </c:pt>
                <c:pt idx="30">
                  <c:v>75445.411922337124</c:v>
                </c:pt>
                <c:pt idx="31">
                  <c:v>75885.981922337131</c:v>
                </c:pt>
                <c:pt idx="32">
                  <c:v>76326.551922337138</c:v>
                </c:pt>
                <c:pt idx="33">
                  <c:v>76767.121922337144</c:v>
                </c:pt>
                <c:pt idx="34">
                  <c:v>77207.691922337151</c:v>
                </c:pt>
                <c:pt idx="35">
                  <c:v>77648.261922337158</c:v>
                </c:pt>
                <c:pt idx="36">
                  <c:v>78088.831922337165</c:v>
                </c:pt>
                <c:pt idx="37">
                  <c:v>78529.401922337172</c:v>
                </c:pt>
                <c:pt idx="38">
                  <c:v>78969.971922337179</c:v>
                </c:pt>
                <c:pt idx="39">
                  <c:v>79410.541922337186</c:v>
                </c:pt>
                <c:pt idx="40">
                  <c:v>79851.111922337193</c:v>
                </c:pt>
                <c:pt idx="41">
                  <c:v>80291.6819223372</c:v>
                </c:pt>
                <c:pt idx="42">
                  <c:v>80732.251922337207</c:v>
                </c:pt>
                <c:pt idx="43">
                  <c:v>81172.821922337214</c:v>
                </c:pt>
                <c:pt idx="44">
                  <c:v>81613.391922337221</c:v>
                </c:pt>
                <c:pt idx="45">
                  <c:v>82053.961922337228</c:v>
                </c:pt>
                <c:pt idx="46">
                  <c:v>82494.531922337235</c:v>
                </c:pt>
                <c:pt idx="47">
                  <c:v>82935.101922337242</c:v>
                </c:pt>
                <c:pt idx="48">
                  <c:v>83375.671922337249</c:v>
                </c:pt>
                <c:pt idx="49">
                  <c:v>83816.241922337256</c:v>
                </c:pt>
                <c:pt idx="50">
                  <c:v>87761.811922337263</c:v>
                </c:pt>
                <c:pt idx="51">
                  <c:v>88202.38192233727</c:v>
                </c:pt>
                <c:pt idx="52">
                  <c:v>88642.951922337277</c:v>
                </c:pt>
                <c:pt idx="53">
                  <c:v>89083.521922337284</c:v>
                </c:pt>
                <c:pt idx="54">
                  <c:v>89524.091922337291</c:v>
                </c:pt>
                <c:pt idx="55">
                  <c:v>89964.661922337298</c:v>
                </c:pt>
                <c:pt idx="56">
                  <c:v>90405.231922337305</c:v>
                </c:pt>
                <c:pt idx="57">
                  <c:v>90845.801922337312</c:v>
                </c:pt>
                <c:pt idx="58">
                  <c:v>91286.371922337319</c:v>
                </c:pt>
                <c:pt idx="59">
                  <c:v>91726.941922337326</c:v>
                </c:pt>
                <c:pt idx="60">
                  <c:v>92167.511922337333</c:v>
                </c:pt>
                <c:pt idx="61">
                  <c:v>92608.08192233734</c:v>
                </c:pt>
                <c:pt idx="62">
                  <c:v>93048.651922337347</c:v>
                </c:pt>
                <c:pt idx="63">
                  <c:v>93489.221922337354</c:v>
                </c:pt>
                <c:pt idx="64">
                  <c:v>93929.791922337361</c:v>
                </c:pt>
                <c:pt idx="65">
                  <c:v>94370.361922337368</c:v>
                </c:pt>
                <c:pt idx="66">
                  <c:v>94810.931922337375</c:v>
                </c:pt>
                <c:pt idx="67">
                  <c:v>95251.501922337382</c:v>
                </c:pt>
                <c:pt idx="68">
                  <c:v>95692.071922337389</c:v>
                </c:pt>
                <c:pt idx="69">
                  <c:v>96132.641922337396</c:v>
                </c:pt>
                <c:pt idx="70">
                  <c:v>96573.211922337403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ECE-451B-8996-16F0276E10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9307088"/>
        <c:axId val="899303760"/>
      </c:lineChart>
      <c:catAx>
        <c:axId val="8993070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b="1"/>
                  <a:t>Years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9303760"/>
        <c:crosses val="autoZero"/>
        <c:auto val="1"/>
        <c:lblAlgn val="ctr"/>
        <c:lblOffset val="100"/>
        <c:noMultiLvlLbl val="0"/>
      </c:catAx>
      <c:valAx>
        <c:axId val="899303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b="1"/>
                  <a:t>kg</a:t>
                </a:r>
                <a:r>
                  <a:rPr lang="en-CA" b="1" baseline="0"/>
                  <a:t> CO2e</a:t>
                </a:r>
                <a:endParaRPr lang="en-C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9307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7.7032989885880976E-2"/>
          <c:y val="7.0940818590144825E-2"/>
          <c:w val="0.13950889759294494"/>
          <c:h val="0.193966874830301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Invested</a:t>
            </a:r>
            <a:r>
              <a:rPr lang="en-CA" baseline="0"/>
              <a:t> Carbon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2"/>
          <c:order val="0"/>
          <c:tx>
            <c:v>C1-C4 Demolition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'Invested Carbon (CZ4)'!$C$3:$F$3</c:f>
              <c:numCache>
                <c:formatCode>General</c:formatCode>
                <c:ptCount val="4"/>
                <c:pt idx="1">
                  <c:v>2257.73</c:v>
                </c:pt>
                <c:pt idx="2">
                  <c:v>17738.22</c:v>
                </c:pt>
                <c:pt idx="3">
                  <c:v>17738.22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8B-4C5C-9CD4-BEDD71F2841D}"/>
            </c:ext>
          </c:extLst>
        </c:ser>
        <c:ser>
          <c:idx val="1"/>
          <c:order val="1"/>
          <c:tx>
            <c:v>A1-A4 Building Materials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'Invested Carbon (CZ4)'!$C$4:$F$4</c:f>
              <c:numCache>
                <c:formatCode>General</c:formatCode>
                <c:ptCount val="4"/>
                <c:pt idx="1">
                  <c:v>2900</c:v>
                </c:pt>
                <c:pt idx="2">
                  <c:v>13410</c:v>
                </c:pt>
                <c:pt idx="3">
                  <c:v>34072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8B-4C5C-9CD4-BEDD71F2841D}"/>
            </c:ext>
          </c:extLst>
        </c:ser>
        <c:ser>
          <c:idx val="0"/>
          <c:order val="2"/>
          <c:tx>
            <c:v>A1-A4 Mechanical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'Invested Carbon (CZ4)'!$C$5:$F$5</c:f>
              <c:numCache>
                <c:formatCode>General</c:formatCode>
                <c:ptCount val="4"/>
                <c:pt idx="0">
                  <c:v>12973</c:v>
                </c:pt>
                <c:pt idx="1">
                  <c:v>8629</c:v>
                </c:pt>
                <c:pt idx="2">
                  <c:v>4113</c:v>
                </c:pt>
                <c:pt idx="3">
                  <c:v>4113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8B-4C5C-9CD4-BEDD71F2841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63222352"/>
        <c:axId val="863223184"/>
      </c:barChart>
      <c:catAx>
        <c:axId val="863222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223184"/>
        <c:crosses val="autoZero"/>
        <c:auto val="1"/>
        <c:lblAlgn val="ctr"/>
        <c:lblOffset val="100"/>
        <c:noMultiLvlLbl val="0"/>
      </c:catAx>
      <c:valAx>
        <c:axId val="86322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kg CO2e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222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Invested</a:t>
            </a:r>
            <a:r>
              <a:rPr lang="en-CA" baseline="0"/>
              <a:t> Carbon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2"/>
          <c:order val="0"/>
          <c:tx>
            <c:v>C1-C4 Demolition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'Invested Carbon (CZ6)'!$C$3:$F$3</c:f>
              <c:numCache>
                <c:formatCode>General</c:formatCode>
                <c:ptCount val="4"/>
                <c:pt idx="1">
                  <c:v>2257.73</c:v>
                </c:pt>
                <c:pt idx="2">
                  <c:v>17738.22</c:v>
                </c:pt>
                <c:pt idx="3">
                  <c:v>17738.22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88-4A2C-9F71-490A797B2331}"/>
            </c:ext>
          </c:extLst>
        </c:ser>
        <c:ser>
          <c:idx val="1"/>
          <c:order val="1"/>
          <c:tx>
            <c:v>A1-A4 Building Materials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'Invested Carbon (CZ6)'!$C$4:$F$4</c:f>
              <c:numCache>
                <c:formatCode>General</c:formatCode>
                <c:ptCount val="4"/>
                <c:pt idx="1">
                  <c:v>2900</c:v>
                </c:pt>
                <c:pt idx="2">
                  <c:v>13410</c:v>
                </c:pt>
                <c:pt idx="3">
                  <c:v>34072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88-4A2C-9F71-490A797B2331}"/>
            </c:ext>
          </c:extLst>
        </c:ser>
        <c:ser>
          <c:idx val="0"/>
          <c:order val="2"/>
          <c:tx>
            <c:v>A1-A4 Mechanical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'Invested Carbon (CZ6)'!$C$5:$F$5</c:f>
              <c:numCache>
                <c:formatCode>General</c:formatCode>
                <c:ptCount val="4"/>
                <c:pt idx="0">
                  <c:v>20640</c:v>
                </c:pt>
                <c:pt idx="1">
                  <c:v>12973</c:v>
                </c:pt>
                <c:pt idx="2">
                  <c:v>4113</c:v>
                </c:pt>
                <c:pt idx="3">
                  <c:v>4113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88-4A2C-9F71-490A797B23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63222352"/>
        <c:axId val="863223184"/>
      </c:barChart>
      <c:catAx>
        <c:axId val="863222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223184"/>
        <c:crosses val="autoZero"/>
        <c:auto val="1"/>
        <c:lblAlgn val="ctr"/>
        <c:lblOffset val="100"/>
        <c:noMultiLvlLbl val="0"/>
      </c:catAx>
      <c:valAx>
        <c:axId val="86322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kg CO2e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222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Invested</a:t>
            </a:r>
            <a:r>
              <a:rPr lang="en-CA" baseline="0"/>
              <a:t> Carbon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2"/>
          <c:order val="0"/>
          <c:tx>
            <c:v>C1-C4 Demolition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'Invested Carbon (CZ8)'!$C$3:$F$3</c:f>
              <c:numCache>
                <c:formatCode>General</c:formatCode>
                <c:ptCount val="4"/>
                <c:pt idx="1">
                  <c:v>2257.73</c:v>
                </c:pt>
                <c:pt idx="2">
                  <c:v>17738.22</c:v>
                </c:pt>
                <c:pt idx="3">
                  <c:v>17738.22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2E-4FB5-911C-BC5C3E6C3A6D}"/>
            </c:ext>
          </c:extLst>
        </c:ser>
        <c:ser>
          <c:idx val="1"/>
          <c:order val="1"/>
          <c:tx>
            <c:v>A1-A4 Building Materials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'Invested Carbon (CZ8)'!$C$4:$F$4</c:f>
              <c:numCache>
                <c:formatCode>General</c:formatCode>
                <c:ptCount val="4"/>
                <c:pt idx="1">
                  <c:v>2900</c:v>
                </c:pt>
                <c:pt idx="2">
                  <c:v>13410</c:v>
                </c:pt>
                <c:pt idx="3">
                  <c:v>34072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2E-4FB5-911C-BC5C3E6C3A6D}"/>
            </c:ext>
          </c:extLst>
        </c:ser>
        <c:ser>
          <c:idx val="0"/>
          <c:order val="2"/>
          <c:tx>
            <c:v>A1-A4 Mechanical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'Invested Carbon (CZ8)'!$C$5:$F$5</c:f>
              <c:numCache>
                <c:formatCode>General</c:formatCode>
                <c:ptCount val="4"/>
                <c:pt idx="0">
                  <c:v>29074</c:v>
                </c:pt>
                <c:pt idx="1">
                  <c:v>24815</c:v>
                </c:pt>
                <c:pt idx="2">
                  <c:v>4113</c:v>
                </c:pt>
                <c:pt idx="3">
                  <c:v>4113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2E-4FB5-911C-BC5C3E6C3A6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63222352"/>
        <c:axId val="863223184"/>
      </c:barChart>
      <c:catAx>
        <c:axId val="863222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223184"/>
        <c:crosses val="autoZero"/>
        <c:auto val="1"/>
        <c:lblAlgn val="ctr"/>
        <c:lblOffset val="100"/>
        <c:noMultiLvlLbl val="0"/>
      </c:catAx>
      <c:valAx>
        <c:axId val="86322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kg CO2e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222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60959</xdr:colOff>
      <xdr:row>34</xdr:row>
      <xdr:rowOff>28575</xdr:rowOff>
    </xdr:from>
    <xdr:to>
      <xdr:col>25</xdr:col>
      <xdr:colOff>544830</xdr:colOff>
      <xdr:row>71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5C206E-0410-4521-9D3A-CCCFF2AB67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60959</xdr:colOff>
      <xdr:row>34</xdr:row>
      <xdr:rowOff>28575</xdr:rowOff>
    </xdr:from>
    <xdr:to>
      <xdr:col>25</xdr:col>
      <xdr:colOff>544830</xdr:colOff>
      <xdr:row>71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8092C3-D9FB-4D7E-B137-CD31C9A228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60959</xdr:colOff>
      <xdr:row>34</xdr:row>
      <xdr:rowOff>28575</xdr:rowOff>
    </xdr:from>
    <xdr:to>
      <xdr:col>25</xdr:col>
      <xdr:colOff>544830</xdr:colOff>
      <xdr:row>71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D6A5B9-A2B8-6E5A-935F-CDC2C39186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124777</xdr:colOff>
      <xdr:row>3</xdr:row>
      <xdr:rowOff>164782</xdr:rowOff>
    </xdr:from>
    <xdr:to>
      <xdr:col>20</xdr:col>
      <xdr:colOff>112395</xdr:colOff>
      <xdr:row>26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9427ED-CBC3-4217-B02F-E71AE609AA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124777</xdr:colOff>
      <xdr:row>3</xdr:row>
      <xdr:rowOff>164782</xdr:rowOff>
    </xdr:from>
    <xdr:to>
      <xdr:col>20</xdr:col>
      <xdr:colOff>112395</xdr:colOff>
      <xdr:row>26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C73C505-AD00-46E9-8310-0C8F9471A5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124777</xdr:colOff>
      <xdr:row>3</xdr:row>
      <xdr:rowOff>164782</xdr:rowOff>
    </xdr:from>
    <xdr:to>
      <xdr:col>20</xdr:col>
      <xdr:colOff>112395</xdr:colOff>
      <xdr:row>26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3D48C84-B753-A3A4-A2E8-727D61CC20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gbc.ca/getmedia/a7603519-43cc-4795-8558-6960b2b7b5d1/HTCEC-2nd-edition.pdf.asp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11BF8-89AE-4C57-8DFD-EF9B5A19D3C3}">
  <dimension ref="B3:D8"/>
  <sheetViews>
    <sheetView workbookViewId="0">
      <selection activeCell="B9" sqref="B9"/>
    </sheetView>
  </sheetViews>
  <sheetFormatPr defaultRowHeight="14.4" x14ac:dyDescent="0.3"/>
  <cols>
    <col min="2" max="2" width="28.44140625" customWidth="1"/>
    <col min="3" max="3" width="26.109375" customWidth="1"/>
  </cols>
  <sheetData>
    <row r="3" spans="2:4" x14ac:dyDescent="0.3">
      <c r="B3" s="2" t="s">
        <v>36</v>
      </c>
      <c r="C3" t="s">
        <v>39</v>
      </c>
    </row>
    <row r="4" spans="2:4" x14ac:dyDescent="0.3">
      <c r="B4" s="2" t="s">
        <v>37</v>
      </c>
      <c r="C4" t="s">
        <v>40</v>
      </c>
      <c r="D4" t="s">
        <v>180</v>
      </c>
    </row>
    <row r="5" spans="2:4" x14ac:dyDescent="0.3">
      <c r="B5" s="2" t="s">
        <v>42</v>
      </c>
      <c r="C5" t="s">
        <v>41</v>
      </c>
    </row>
    <row r="6" spans="2:4" x14ac:dyDescent="0.3">
      <c r="B6" s="2" t="s">
        <v>38</v>
      </c>
      <c r="C6" s="4" t="s">
        <v>72</v>
      </c>
    </row>
    <row r="8" spans="2:4" x14ac:dyDescent="0.3">
      <c r="B8" s="2" t="s">
        <v>187</v>
      </c>
    </row>
  </sheetData>
  <hyperlinks>
    <hyperlink ref="C6" r:id="rId1" display="https://www.egbc.ca/getmedia/a7603519-43cc-4795-8558-6960b2b7b5d1/HTCEC-2nd-edition.pdf.aspx" xr:uid="{01447B54-010E-4293-B517-69279059172F}"/>
  </hyperlinks>
  <pageMargins left="0.7" right="0.7" top="0.75" bottom="0.75" header="0.3" footer="0.3"/>
  <pageSetup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75826-4754-433F-B701-8620C9309C26}">
  <dimension ref="A2:G113"/>
  <sheetViews>
    <sheetView topLeftCell="G32" workbookViewId="0">
      <selection activeCell="C31" sqref="C31"/>
    </sheetView>
  </sheetViews>
  <sheetFormatPr defaultRowHeight="14.4" x14ac:dyDescent="0.3"/>
  <cols>
    <col min="2" max="2" width="17.21875" customWidth="1"/>
    <col min="5" max="5" width="9.44140625" customWidth="1"/>
    <col min="6" max="6" width="20.44140625" customWidth="1"/>
    <col min="7" max="7" width="19" customWidth="1"/>
  </cols>
  <sheetData>
    <row r="2" spans="1:7" x14ac:dyDescent="0.3">
      <c r="C2" s="2" t="s">
        <v>179</v>
      </c>
    </row>
    <row r="4" spans="1:7" x14ac:dyDescent="0.3">
      <c r="B4" s="2" t="s">
        <v>188</v>
      </c>
      <c r="C4" s="2" t="s">
        <v>9</v>
      </c>
      <c r="D4" s="2" t="s">
        <v>76</v>
      </c>
      <c r="E4" s="2" t="s">
        <v>77</v>
      </c>
      <c r="F4" s="2" t="s">
        <v>186</v>
      </c>
      <c r="G4" s="2" t="s">
        <v>189</v>
      </c>
    </row>
    <row r="5" spans="1:7" x14ac:dyDescent="0.3">
      <c r="B5" s="2" t="s">
        <v>31</v>
      </c>
      <c r="C5" s="2" t="s">
        <v>31</v>
      </c>
      <c r="D5" s="2" t="s">
        <v>31</v>
      </c>
      <c r="E5" s="2" t="s">
        <v>31</v>
      </c>
      <c r="F5" s="2" t="s">
        <v>31</v>
      </c>
      <c r="G5" s="2" t="s">
        <v>31</v>
      </c>
    </row>
    <row r="6" spans="1:7" x14ac:dyDescent="0.3">
      <c r="A6" t="s">
        <v>178</v>
      </c>
      <c r="B6">
        <f>100</f>
        <v>100</v>
      </c>
      <c r="C6">
        <f>2257.73+24815</f>
        <v>27072.73</v>
      </c>
      <c r="D6" s="5">
        <f>'C1-C4 Demo Base'!L21+'Building Material (A1-A5 B1-B7)'!G4+'HRV (A1, B1, C1)'!F8</f>
        <v>31756.221922337034</v>
      </c>
      <c r="E6" s="5">
        <f>'C1-C4 Demo Base'!L21+'Heat Pump R410A (A1, B1, C1)'!G7+'HRV (A1, B1, C1)'!G8+'Building Material (A1-A5 B1-B7)'!H4</f>
        <v>58723.31192233703</v>
      </c>
      <c r="F6">
        <f>1200</f>
        <v>1200</v>
      </c>
      <c r="G6">
        <v>29074</v>
      </c>
    </row>
    <row r="7" spans="1:7" x14ac:dyDescent="0.3">
      <c r="A7" t="s">
        <v>78</v>
      </c>
      <c r="B7">
        <f>B6+4165.47</f>
        <v>4265.47</v>
      </c>
      <c r="C7">
        <f>C6+2940.29</f>
        <v>30013.02</v>
      </c>
      <c r="D7" s="5">
        <f>D6+645.95</f>
        <v>32402.171922337035</v>
      </c>
      <c r="E7" s="5">
        <f>E6+645.95</f>
        <v>59369.261922337027</v>
      </c>
      <c r="F7">
        <f>F6+16620.48</f>
        <v>17820.48</v>
      </c>
      <c r="G7">
        <f>G6+3965.79</f>
        <v>33039.79</v>
      </c>
    </row>
    <row r="8" spans="1:7" x14ac:dyDescent="0.3">
      <c r="A8" t="s">
        <v>83</v>
      </c>
      <c r="B8">
        <f t="shared" ref="B8:B71" si="0">B7+4165.47</f>
        <v>8430.94</v>
      </c>
      <c r="C8">
        <f t="shared" ref="C8:C71" si="1">C7+2940.29</f>
        <v>32953.31</v>
      </c>
      <c r="D8" s="5">
        <f t="shared" ref="D8:D71" si="2">D7+645.95</f>
        <v>33048.121922337035</v>
      </c>
      <c r="E8" s="5">
        <f t="shared" ref="E8:E71" si="3">E7+645.95</f>
        <v>60015.211922337025</v>
      </c>
      <c r="F8">
        <f t="shared" ref="F8:F71" si="4">F7+16620.48</f>
        <v>34440.959999999999</v>
      </c>
      <c r="G8">
        <f t="shared" ref="G8:G71" si="5">G7+3965.79</f>
        <v>37005.58</v>
      </c>
    </row>
    <row r="9" spans="1:7" x14ac:dyDescent="0.3">
      <c r="A9" t="s">
        <v>84</v>
      </c>
      <c r="B9">
        <f t="shared" si="0"/>
        <v>12596.41</v>
      </c>
      <c r="C9">
        <f t="shared" si="1"/>
        <v>35893.599999999999</v>
      </c>
      <c r="D9" s="5">
        <f t="shared" si="2"/>
        <v>33694.071922337032</v>
      </c>
      <c r="E9" s="5">
        <f t="shared" si="3"/>
        <v>60661.161922337022</v>
      </c>
      <c r="F9">
        <f t="shared" si="4"/>
        <v>51061.440000000002</v>
      </c>
      <c r="G9">
        <f t="shared" si="5"/>
        <v>40971.370000000003</v>
      </c>
    </row>
    <row r="10" spans="1:7" x14ac:dyDescent="0.3">
      <c r="A10" t="s">
        <v>85</v>
      </c>
      <c r="B10">
        <f t="shared" si="0"/>
        <v>16761.88</v>
      </c>
      <c r="C10">
        <f t="shared" si="1"/>
        <v>38833.89</v>
      </c>
      <c r="D10" s="5">
        <f t="shared" si="2"/>
        <v>34340.02192233703</v>
      </c>
      <c r="E10" s="5">
        <f t="shared" si="3"/>
        <v>61307.111922337019</v>
      </c>
      <c r="F10">
        <f t="shared" si="4"/>
        <v>67681.919999999998</v>
      </c>
      <c r="G10">
        <f t="shared" si="5"/>
        <v>44937.16</v>
      </c>
    </row>
    <row r="11" spans="1:7" x14ac:dyDescent="0.3">
      <c r="A11" t="s">
        <v>79</v>
      </c>
      <c r="B11">
        <f t="shared" si="0"/>
        <v>20927.350000000002</v>
      </c>
      <c r="C11">
        <f t="shared" si="1"/>
        <v>41774.18</v>
      </c>
      <c r="D11" s="5">
        <f t="shared" si="2"/>
        <v>34985.971922337027</v>
      </c>
      <c r="E11" s="5">
        <f t="shared" si="3"/>
        <v>61953.061922337016</v>
      </c>
      <c r="F11">
        <f t="shared" si="4"/>
        <v>84302.399999999994</v>
      </c>
      <c r="G11">
        <f t="shared" si="5"/>
        <v>48902.950000000004</v>
      </c>
    </row>
    <row r="12" spans="1:7" x14ac:dyDescent="0.3">
      <c r="A12" t="s">
        <v>86</v>
      </c>
      <c r="B12">
        <f t="shared" si="0"/>
        <v>25092.820000000003</v>
      </c>
      <c r="C12">
        <f t="shared" si="1"/>
        <v>44714.47</v>
      </c>
      <c r="D12" s="5">
        <f t="shared" si="2"/>
        <v>35631.921922337024</v>
      </c>
      <c r="E12" s="5">
        <f t="shared" si="3"/>
        <v>62599.011922337013</v>
      </c>
      <c r="F12">
        <f t="shared" si="4"/>
        <v>100922.87999999999</v>
      </c>
      <c r="G12">
        <f t="shared" si="5"/>
        <v>52868.740000000005</v>
      </c>
    </row>
    <row r="13" spans="1:7" x14ac:dyDescent="0.3">
      <c r="A13" t="s">
        <v>87</v>
      </c>
      <c r="B13">
        <f t="shared" si="0"/>
        <v>29258.290000000005</v>
      </c>
      <c r="C13">
        <f t="shared" si="1"/>
        <v>47654.76</v>
      </c>
      <c r="D13" s="5">
        <f t="shared" si="2"/>
        <v>36277.871922337021</v>
      </c>
      <c r="E13" s="5">
        <f t="shared" si="3"/>
        <v>63244.96192233701</v>
      </c>
      <c r="F13">
        <f t="shared" si="4"/>
        <v>117543.35999999999</v>
      </c>
      <c r="G13">
        <f t="shared" si="5"/>
        <v>56834.530000000006</v>
      </c>
    </row>
    <row r="14" spans="1:7" x14ac:dyDescent="0.3">
      <c r="A14" t="s">
        <v>88</v>
      </c>
      <c r="B14">
        <f t="shared" si="0"/>
        <v>33423.760000000002</v>
      </c>
      <c r="C14">
        <f t="shared" si="1"/>
        <v>50595.05</v>
      </c>
      <c r="D14" s="5">
        <f t="shared" si="2"/>
        <v>36923.821922337018</v>
      </c>
      <c r="E14" s="5">
        <f t="shared" si="3"/>
        <v>63890.911922337007</v>
      </c>
      <c r="F14">
        <f t="shared" si="4"/>
        <v>134163.84</v>
      </c>
      <c r="G14">
        <f t="shared" si="5"/>
        <v>60800.320000000007</v>
      </c>
    </row>
    <row r="15" spans="1:7" x14ac:dyDescent="0.3">
      <c r="A15" t="s">
        <v>89</v>
      </c>
      <c r="B15">
        <f t="shared" si="0"/>
        <v>37589.230000000003</v>
      </c>
      <c r="C15">
        <f t="shared" si="1"/>
        <v>53535.340000000004</v>
      </c>
      <c r="D15" s="5">
        <f t="shared" si="2"/>
        <v>37569.771922337015</v>
      </c>
      <c r="E15" s="5">
        <f t="shared" si="3"/>
        <v>64536.861922337004</v>
      </c>
      <c r="F15">
        <f t="shared" si="4"/>
        <v>150784.32000000001</v>
      </c>
      <c r="G15">
        <f t="shared" si="5"/>
        <v>64766.110000000008</v>
      </c>
    </row>
    <row r="16" spans="1:7" x14ac:dyDescent="0.3">
      <c r="A16" t="s">
        <v>80</v>
      </c>
      <c r="B16">
        <f t="shared" si="0"/>
        <v>41754.700000000004</v>
      </c>
      <c r="C16">
        <f t="shared" si="1"/>
        <v>56475.630000000005</v>
      </c>
      <c r="D16" s="5">
        <f t="shared" si="2"/>
        <v>38215.721922337012</v>
      </c>
      <c r="E16" s="5">
        <f t="shared" si="3"/>
        <v>65182.811922337001</v>
      </c>
      <c r="F16">
        <f t="shared" si="4"/>
        <v>167404.80000000002</v>
      </c>
      <c r="G16">
        <f t="shared" si="5"/>
        <v>68731.900000000009</v>
      </c>
    </row>
    <row r="17" spans="1:7" x14ac:dyDescent="0.3">
      <c r="A17" t="s">
        <v>90</v>
      </c>
      <c r="B17">
        <f t="shared" si="0"/>
        <v>45920.170000000006</v>
      </c>
      <c r="C17">
        <f t="shared" si="1"/>
        <v>59415.920000000006</v>
      </c>
      <c r="D17" s="5">
        <f t="shared" si="2"/>
        <v>38861.671922337009</v>
      </c>
      <c r="E17" s="5">
        <f t="shared" si="3"/>
        <v>65828.761922336998</v>
      </c>
      <c r="F17">
        <f t="shared" si="4"/>
        <v>184025.28000000003</v>
      </c>
      <c r="G17">
        <f t="shared" si="5"/>
        <v>72697.69</v>
      </c>
    </row>
    <row r="18" spans="1:7" x14ac:dyDescent="0.3">
      <c r="A18" t="s">
        <v>91</v>
      </c>
      <c r="B18">
        <f t="shared" si="0"/>
        <v>50085.640000000007</v>
      </c>
      <c r="C18">
        <f t="shared" si="1"/>
        <v>62356.210000000006</v>
      </c>
      <c r="D18" s="5">
        <f t="shared" si="2"/>
        <v>39507.621922337006</v>
      </c>
      <c r="E18" s="5">
        <f t="shared" si="3"/>
        <v>66474.711922336995</v>
      </c>
      <c r="F18">
        <f t="shared" si="4"/>
        <v>200645.76000000004</v>
      </c>
      <c r="G18">
        <f t="shared" si="5"/>
        <v>76663.48</v>
      </c>
    </row>
    <row r="19" spans="1:7" x14ac:dyDescent="0.3">
      <c r="A19" t="s">
        <v>92</v>
      </c>
      <c r="B19">
        <f t="shared" si="0"/>
        <v>54251.110000000008</v>
      </c>
      <c r="C19">
        <f t="shared" si="1"/>
        <v>65296.500000000007</v>
      </c>
      <c r="D19" s="5">
        <f t="shared" si="2"/>
        <v>40153.571922337003</v>
      </c>
      <c r="E19" s="5">
        <f t="shared" si="3"/>
        <v>67120.661922336993</v>
      </c>
      <c r="F19">
        <f t="shared" si="4"/>
        <v>217266.24000000005</v>
      </c>
      <c r="G19">
        <f t="shared" si="5"/>
        <v>80629.26999999999</v>
      </c>
    </row>
    <row r="20" spans="1:7" x14ac:dyDescent="0.3">
      <c r="A20" t="s">
        <v>93</v>
      </c>
      <c r="B20">
        <f t="shared" si="0"/>
        <v>58416.580000000009</v>
      </c>
      <c r="C20">
        <f t="shared" si="1"/>
        <v>68236.790000000008</v>
      </c>
      <c r="D20" s="5">
        <f t="shared" si="2"/>
        <v>40799.521922337</v>
      </c>
      <c r="E20" s="5">
        <f t="shared" si="3"/>
        <v>67766.61192233699</v>
      </c>
      <c r="F20">
        <f t="shared" si="4"/>
        <v>233886.72000000006</v>
      </c>
      <c r="G20">
        <f t="shared" si="5"/>
        <v>84595.059999999983</v>
      </c>
    </row>
    <row r="21" spans="1:7" x14ac:dyDescent="0.3">
      <c r="A21" t="s">
        <v>81</v>
      </c>
      <c r="B21">
        <f t="shared" si="0"/>
        <v>62582.05000000001</v>
      </c>
      <c r="C21">
        <f t="shared" si="1"/>
        <v>71177.08</v>
      </c>
      <c r="D21" s="5">
        <f t="shared" si="2"/>
        <v>41445.471922336998</v>
      </c>
      <c r="E21" s="5">
        <f t="shared" si="3"/>
        <v>68412.561922336987</v>
      </c>
      <c r="F21">
        <f t="shared" si="4"/>
        <v>250507.20000000007</v>
      </c>
      <c r="G21">
        <f t="shared" si="5"/>
        <v>88560.849999999977</v>
      </c>
    </row>
    <row r="22" spans="1:7" x14ac:dyDescent="0.3">
      <c r="A22" t="s">
        <v>94</v>
      </c>
      <c r="B22">
        <f t="shared" si="0"/>
        <v>66747.520000000004</v>
      </c>
      <c r="C22">
        <f t="shared" si="1"/>
        <v>74117.37</v>
      </c>
      <c r="D22" s="5">
        <f t="shared" si="2"/>
        <v>42091.421922336995</v>
      </c>
      <c r="E22" s="5">
        <f t="shared" si="3"/>
        <v>69058.511922336984</v>
      </c>
      <c r="F22">
        <f t="shared" si="4"/>
        <v>267127.68000000005</v>
      </c>
      <c r="G22">
        <f t="shared" si="5"/>
        <v>92526.63999999997</v>
      </c>
    </row>
    <row r="23" spans="1:7" x14ac:dyDescent="0.3">
      <c r="A23" t="s">
        <v>95</v>
      </c>
      <c r="B23">
        <f t="shared" si="0"/>
        <v>70912.990000000005</v>
      </c>
      <c r="C23">
        <f t="shared" si="1"/>
        <v>77057.659999999989</v>
      </c>
      <c r="D23" s="5">
        <f t="shared" si="2"/>
        <v>42737.371922336992</v>
      </c>
      <c r="E23" s="5">
        <f t="shared" si="3"/>
        <v>69704.461922336981</v>
      </c>
      <c r="F23">
        <f t="shared" si="4"/>
        <v>283748.16000000003</v>
      </c>
      <c r="G23">
        <f t="shared" si="5"/>
        <v>96492.429999999964</v>
      </c>
    </row>
    <row r="24" spans="1:7" x14ac:dyDescent="0.3">
      <c r="A24" t="s">
        <v>96</v>
      </c>
      <c r="B24">
        <f t="shared" si="0"/>
        <v>75078.460000000006</v>
      </c>
      <c r="C24">
        <f t="shared" si="1"/>
        <v>79997.949999999983</v>
      </c>
      <c r="D24" s="5">
        <f t="shared" si="2"/>
        <v>43383.321922336989</v>
      </c>
      <c r="E24" s="5">
        <f t="shared" si="3"/>
        <v>70350.411922336978</v>
      </c>
      <c r="F24">
        <f t="shared" si="4"/>
        <v>300368.64000000001</v>
      </c>
      <c r="G24">
        <f t="shared" si="5"/>
        <v>100458.21999999996</v>
      </c>
    </row>
    <row r="25" spans="1:7" x14ac:dyDescent="0.3">
      <c r="A25" t="s">
        <v>97</v>
      </c>
      <c r="B25">
        <f t="shared" si="0"/>
        <v>79243.930000000008</v>
      </c>
      <c r="C25">
        <f t="shared" si="1"/>
        <v>82938.239999999976</v>
      </c>
      <c r="D25" s="5">
        <f t="shared" si="2"/>
        <v>44029.271922336986</v>
      </c>
      <c r="E25" s="5">
        <f t="shared" si="3"/>
        <v>70996.361922336975</v>
      </c>
      <c r="F25">
        <f t="shared" si="4"/>
        <v>316989.12</v>
      </c>
      <c r="G25">
        <f t="shared" si="5"/>
        <v>104424.00999999995</v>
      </c>
    </row>
    <row r="26" spans="1:7" x14ac:dyDescent="0.3">
      <c r="A26" t="s">
        <v>82</v>
      </c>
      <c r="B26">
        <f t="shared" si="0"/>
        <v>83409.400000000009</v>
      </c>
      <c r="C26">
        <f t="shared" si="1"/>
        <v>85878.52999999997</v>
      </c>
      <c r="D26" s="5">
        <f t="shared" si="2"/>
        <v>44675.221922336983</v>
      </c>
      <c r="E26" s="5">
        <f t="shared" si="3"/>
        <v>71642.311922336972</v>
      </c>
      <c r="F26">
        <f t="shared" si="4"/>
        <v>333609.59999999998</v>
      </c>
      <c r="G26">
        <f t="shared" si="5"/>
        <v>108389.79999999994</v>
      </c>
    </row>
    <row r="27" spans="1:7" x14ac:dyDescent="0.3">
      <c r="A27" t="s">
        <v>98</v>
      </c>
      <c r="B27">
        <f t="shared" si="0"/>
        <v>87574.87000000001</v>
      </c>
      <c r="C27">
        <f t="shared" si="1"/>
        <v>88818.819999999963</v>
      </c>
      <c r="D27" s="5">
        <f t="shared" si="2"/>
        <v>45321.17192233698</v>
      </c>
      <c r="E27" s="5">
        <f t="shared" si="3"/>
        <v>72288.261922336969</v>
      </c>
      <c r="F27">
        <f t="shared" si="4"/>
        <v>350230.07999999996</v>
      </c>
      <c r="G27">
        <f t="shared" si="5"/>
        <v>112355.58999999994</v>
      </c>
    </row>
    <row r="28" spans="1:7" x14ac:dyDescent="0.3">
      <c r="A28" t="s">
        <v>99</v>
      </c>
      <c r="B28">
        <f t="shared" si="0"/>
        <v>91740.340000000011</v>
      </c>
      <c r="C28">
        <f t="shared" si="1"/>
        <v>91759.109999999957</v>
      </c>
      <c r="D28" s="5">
        <f t="shared" si="2"/>
        <v>45967.121922336977</v>
      </c>
      <c r="E28" s="5">
        <f t="shared" si="3"/>
        <v>72934.211922336966</v>
      </c>
      <c r="F28">
        <f t="shared" si="4"/>
        <v>366850.55999999994</v>
      </c>
      <c r="G28">
        <f t="shared" si="5"/>
        <v>116321.37999999993</v>
      </c>
    </row>
    <row r="29" spans="1:7" x14ac:dyDescent="0.3">
      <c r="A29" t="s">
        <v>100</v>
      </c>
      <c r="B29">
        <f t="shared" si="0"/>
        <v>95905.810000000012</v>
      </c>
      <c r="C29">
        <f t="shared" si="1"/>
        <v>94699.399999999951</v>
      </c>
      <c r="D29" s="5">
        <f t="shared" si="2"/>
        <v>46613.071922336974</v>
      </c>
      <c r="E29" s="5">
        <f t="shared" si="3"/>
        <v>73580.161922336963</v>
      </c>
      <c r="F29">
        <f t="shared" si="4"/>
        <v>383471.03999999992</v>
      </c>
      <c r="G29">
        <f t="shared" si="5"/>
        <v>120287.16999999993</v>
      </c>
    </row>
    <row r="30" spans="1:7" x14ac:dyDescent="0.3">
      <c r="A30" t="s">
        <v>101</v>
      </c>
      <c r="B30">
        <f t="shared" si="0"/>
        <v>100071.28000000001</v>
      </c>
      <c r="C30">
        <f t="shared" si="1"/>
        <v>97639.689999999944</v>
      </c>
      <c r="D30" s="5">
        <f t="shared" si="2"/>
        <v>47259.021922336971</v>
      </c>
      <c r="E30" s="5">
        <f t="shared" si="3"/>
        <v>74226.111922336961</v>
      </c>
      <c r="F30">
        <f t="shared" si="4"/>
        <v>400091.5199999999</v>
      </c>
      <c r="G30">
        <f t="shared" si="5"/>
        <v>124252.95999999992</v>
      </c>
    </row>
    <row r="31" spans="1:7" x14ac:dyDescent="0.3">
      <c r="A31" t="s">
        <v>102</v>
      </c>
      <c r="B31">
        <f>B30+4165.47+100</f>
        <v>104336.75000000001</v>
      </c>
      <c r="C31">
        <f>C30+2940.29+24815</f>
        <v>125394.97999999994</v>
      </c>
      <c r="D31" s="5">
        <f>D30+645.95+3505</f>
        <v>51409.971922336968</v>
      </c>
      <c r="E31" s="5">
        <f>E30+645.95+3505</f>
        <v>78377.061922336958</v>
      </c>
      <c r="F31">
        <f>F30+16620.48+1200</f>
        <v>417911.99999999988</v>
      </c>
      <c r="G31">
        <f>G30+3965.79+29074</f>
        <v>157292.74999999991</v>
      </c>
    </row>
    <row r="32" spans="1:7" x14ac:dyDescent="0.3">
      <c r="A32" t="s">
        <v>103</v>
      </c>
      <c r="B32">
        <f t="shared" si="0"/>
        <v>108502.22000000002</v>
      </c>
      <c r="C32">
        <f t="shared" si="1"/>
        <v>128335.26999999993</v>
      </c>
      <c r="D32" s="5">
        <f t="shared" si="2"/>
        <v>52055.921922336966</v>
      </c>
      <c r="E32" s="5">
        <f t="shared" si="3"/>
        <v>79023.011922336955</v>
      </c>
      <c r="F32">
        <f t="shared" si="4"/>
        <v>434532.47999999986</v>
      </c>
      <c r="G32">
        <f t="shared" si="5"/>
        <v>161258.53999999992</v>
      </c>
    </row>
    <row r="33" spans="1:7" x14ac:dyDescent="0.3">
      <c r="A33" t="s">
        <v>104</v>
      </c>
      <c r="B33">
        <f t="shared" si="0"/>
        <v>112667.69000000002</v>
      </c>
      <c r="C33">
        <f t="shared" si="1"/>
        <v>131275.55999999994</v>
      </c>
      <c r="D33" s="5">
        <f t="shared" si="2"/>
        <v>52701.871922336963</v>
      </c>
      <c r="E33" s="5">
        <f t="shared" si="3"/>
        <v>79668.961922336952</v>
      </c>
      <c r="F33">
        <f t="shared" si="4"/>
        <v>451152.95999999985</v>
      </c>
      <c r="G33">
        <f t="shared" si="5"/>
        <v>165224.32999999993</v>
      </c>
    </row>
    <row r="34" spans="1:7" x14ac:dyDescent="0.3">
      <c r="A34" t="s">
        <v>105</v>
      </c>
      <c r="B34">
        <f t="shared" si="0"/>
        <v>116833.16000000002</v>
      </c>
      <c r="C34">
        <f t="shared" si="1"/>
        <v>134215.84999999995</v>
      </c>
      <c r="D34" s="5">
        <f t="shared" si="2"/>
        <v>53347.82192233696</v>
      </c>
      <c r="E34" s="5">
        <f t="shared" si="3"/>
        <v>80314.911922336949</v>
      </c>
      <c r="F34">
        <f t="shared" si="4"/>
        <v>467773.43999999983</v>
      </c>
      <c r="G34">
        <f t="shared" si="5"/>
        <v>169190.11999999994</v>
      </c>
    </row>
    <row r="35" spans="1:7" x14ac:dyDescent="0.3">
      <c r="A35" t="s">
        <v>106</v>
      </c>
      <c r="B35">
        <f t="shared" si="0"/>
        <v>120998.63000000002</v>
      </c>
      <c r="C35">
        <f t="shared" si="1"/>
        <v>137156.13999999996</v>
      </c>
      <c r="D35" s="5">
        <f t="shared" si="2"/>
        <v>53993.771922336957</v>
      </c>
      <c r="E35" s="5">
        <f t="shared" si="3"/>
        <v>80960.861922336946</v>
      </c>
      <c r="F35">
        <f t="shared" si="4"/>
        <v>484393.91999999981</v>
      </c>
      <c r="G35">
        <f t="shared" si="5"/>
        <v>173155.90999999995</v>
      </c>
    </row>
    <row r="36" spans="1:7" x14ac:dyDescent="0.3">
      <c r="A36" t="s">
        <v>107</v>
      </c>
      <c r="B36">
        <f t="shared" si="0"/>
        <v>125164.10000000002</v>
      </c>
      <c r="C36">
        <f t="shared" si="1"/>
        <v>140096.42999999996</v>
      </c>
      <c r="D36" s="5">
        <f t="shared" si="2"/>
        <v>54639.721922336954</v>
      </c>
      <c r="E36" s="5">
        <f t="shared" si="3"/>
        <v>81606.811922336943</v>
      </c>
      <c r="F36">
        <f t="shared" si="4"/>
        <v>501014.39999999979</v>
      </c>
      <c r="G36">
        <f t="shared" si="5"/>
        <v>177121.69999999995</v>
      </c>
    </row>
    <row r="37" spans="1:7" x14ac:dyDescent="0.3">
      <c r="A37" t="s">
        <v>108</v>
      </c>
      <c r="B37">
        <f t="shared" si="0"/>
        <v>129329.57000000002</v>
      </c>
      <c r="C37">
        <f t="shared" si="1"/>
        <v>143036.71999999997</v>
      </c>
      <c r="D37" s="5">
        <f t="shared" si="2"/>
        <v>55285.671922336951</v>
      </c>
      <c r="E37" s="5">
        <f t="shared" si="3"/>
        <v>82252.76192233694</v>
      </c>
      <c r="F37">
        <f t="shared" si="4"/>
        <v>517634.87999999977</v>
      </c>
      <c r="G37">
        <f t="shared" si="5"/>
        <v>181087.48999999996</v>
      </c>
    </row>
    <row r="38" spans="1:7" x14ac:dyDescent="0.3">
      <c r="A38" t="s">
        <v>109</v>
      </c>
      <c r="B38">
        <f t="shared" si="0"/>
        <v>133495.04000000001</v>
      </c>
      <c r="C38">
        <f t="shared" si="1"/>
        <v>145977.00999999998</v>
      </c>
      <c r="D38" s="5">
        <f t="shared" si="2"/>
        <v>55931.621922336948</v>
      </c>
      <c r="E38" s="5">
        <f t="shared" si="3"/>
        <v>82898.711922336937</v>
      </c>
      <c r="F38">
        <f t="shared" si="4"/>
        <v>534255.35999999975</v>
      </c>
      <c r="G38">
        <f t="shared" si="5"/>
        <v>185053.27999999997</v>
      </c>
    </row>
    <row r="39" spans="1:7" x14ac:dyDescent="0.3">
      <c r="A39" t="s">
        <v>110</v>
      </c>
      <c r="B39">
        <f t="shared" si="0"/>
        <v>137660.51</v>
      </c>
      <c r="C39">
        <f t="shared" si="1"/>
        <v>148917.29999999999</v>
      </c>
      <c r="D39" s="5">
        <f t="shared" si="2"/>
        <v>56577.571922336945</v>
      </c>
      <c r="E39" s="5">
        <f t="shared" si="3"/>
        <v>83544.661922336934</v>
      </c>
      <c r="F39">
        <f t="shared" si="4"/>
        <v>550875.83999999973</v>
      </c>
      <c r="G39">
        <f t="shared" si="5"/>
        <v>189019.06999999998</v>
      </c>
    </row>
    <row r="40" spans="1:7" x14ac:dyDescent="0.3">
      <c r="A40" t="s">
        <v>111</v>
      </c>
      <c r="B40">
        <f t="shared" si="0"/>
        <v>141825.98000000001</v>
      </c>
      <c r="C40">
        <f t="shared" si="1"/>
        <v>151857.59</v>
      </c>
      <c r="D40" s="5">
        <f t="shared" si="2"/>
        <v>57223.521922336942</v>
      </c>
      <c r="E40" s="5">
        <f t="shared" si="3"/>
        <v>84190.611922336931</v>
      </c>
      <c r="F40">
        <f t="shared" si="4"/>
        <v>567496.31999999972</v>
      </c>
      <c r="G40">
        <f t="shared" si="5"/>
        <v>192984.86</v>
      </c>
    </row>
    <row r="41" spans="1:7" x14ac:dyDescent="0.3">
      <c r="A41" t="s">
        <v>112</v>
      </c>
      <c r="B41">
        <f t="shared" si="0"/>
        <v>145991.45000000001</v>
      </c>
      <c r="C41">
        <f t="shared" si="1"/>
        <v>154797.88</v>
      </c>
      <c r="D41" s="5">
        <f t="shared" si="2"/>
        <v>57869.471922336939</v>
      </c>
      <c r="E41" s="5">
        <f t="shared" si="3"/>
        <v>84836.561922336929</v>
      </c>
      <c r="F41">
        <f t="shared" si="4"/>
        <v>584116.7999999997</v>
      </c>
      <c r="G41">
        <f t="shared" si="5"/>
        <v>196950.65</v>
      </c>
    </row>
    <row r="42" spans="1:7" x14ac:dyDescent="0.3">
      <c r="A42" t="s">
        <v>113</v>
      </c>
      <c r="B42">
        <f t="shared" si="0"/>
        <v>150156.92000000001</v>
      </c>
      <c r="C42">
        <f t="shared" si="1"/>
        <v>157738.17000000001</v>
      </c>
      <c r="D42" s="5">
        <f t="shared" si="2"/>
        <v>58515.421922336936</v>
      </c>
      <c r="E42" s="5">
        <f t="shared" si="3"/>
        <v>85482.511922336926</v>
      </c>
      <c r="F42">
        <f t="shared" si="4"/>
        <v>600737.27999999968</v>
      </c>
      <c r="G42">
        <f t="shared" si="5"/>
        <v>200916.44</v>
      </c>
    </row>
    <row r="43" spans="1:7" x14ac:dyDescent="0.3">
      <c r="A43" t="s">
        <v>114</v>
      </c>
      <c r="B43">
        <f t="shared" si="0"/>
        <v>154322.39000000001</v>
      </c>
      <c r="C43">
        <f t="shared" si="1"/>
        <v>160678.46000000002</v>
      </c>
      <c r="D43" s="5">
        <f t="shared" si="2"/>
        <v>59161.371922336933</v>
      </c>
      <c r="E43" s="5">
        <f t="shared" si="3"/>
        <v>86128.461922336923</v>
      </c>
      <c r="F43">
        <f t="shared" si="4"/>
        <v>617357.75999999966</v>
      </c>
      <c r="G43">
        <f t="shared" si="5"/>
        <v>204882.23</v>
      </c>
    </row>
    <row r="44" spans="1:7" x14ac:dyDescent="0.3">
      <c r="A44" t="s">
        <v>115</v>
      </c>
      <c r="B44">
        <f t="shared" si="0"/>
        <v>158487.86000000002</v>
      </c>
      <c r="C44">
        <f t="shared" si="1"/>
        <v>163618.75000000003</v>
      </c>
      <c r="D44" s="5">
        <f t="shared" si="2"/>
        <v>59807.321922336931</v>
      </c>
      <c r="E44" s="5">
        <f t="shared" si="3"/>
        <v>86774.41192233692</v>
      </c>
      <c r="F44">
        <f t="shared" si="4"/>
        <v>633978.23999999964</v>
      </c>
      <c r="G44">
        <f t="shared" si="5"/>
        <v>208848.02000000002</v>
      </c>
    </row>
    <row r="45" spans="1:7" x14ac:dyDescent="0.3">
      <c r="A45" t="s">
        <v>116</v>
      </c>
      <c r="B45">
        <f t="shared" si="0"/>
        <v>162653.33000000002</v>
      </c>
      <c r="C45">
        <f t="shared" si="1"/>
        <v>166559.04000000004</v>
      </c>
      <c r="D45" s="5">
        <f t="shared" si="2"/>
        <v>60453.271922336928</v>
      </c>
      <c r="E45" s="5">
        <f t="shared" si="3"/>
        <v>87420.361922336917</v>
      </c>
      <c r="F45">
        <f t="shared" si="4"/>
        <v>650598.71999999962</v>
      </c>
      <c r="G45">
        <f t="shared" si="5"/>
        <v>212813.81000000003</v>
      </c>
    </row>
    <row r="46" spans="1:7" x14ac:dyDescent="0.3">
      <c r="A46" t="s">
        <v>117</v>
      </c>
      <c r="B46">
        <f t="shared" si="0"/>
        <v>166818.80000000002</v>
      </c>
      <c r="C46">
        <f t="shared" si="1"/>
        <v>169499.33000000005</v>
      </c>
      <c r="D46" s="5">
        <f t="shared" si="2"/>
        <v>61099.221922336925</v>
      </c>
      <c r="E46" s="5">
        <f t="shared" si="3"/>
        <v>88066.311922336914</v>
      </c>
      <c r="F46">
        <f t="shared" si="4"/>
        <v>667219.1999999996</v>
      </c>
      <c r="G46">
        <f t="shared" si="5"/>
        <v>216779.60000000003</v>
      </c>
    </row>
    <row r="47" spans="1:7" x14ac:dyDescent="0.3">
      <c r="A47" t="s">
        <v>118</v>
      </c>
      <c r="B47">
        <f t="shared" si="0"/>
        <v>170984.27000000002</v>
      </c>
      <c r="C47">
        <f t="shared" si="1"/>
        <v>172439.62000000005</v>
      </c>
      <c r="D47" s="5">
        <f t="shared" si="2"/>
        <v>61745.171922336922</v>
      </c>
      <c r="E47" s="5">
        <f t="shared" si="3"/>
        <v>88712.261922336911</v>
      </c>
      <c r="F47">
        <f t="shared" si="4"/>
        <v>683839.67999999959</v>
      </c>
      <c r="G47">
        <f t="shared" si="5"/>
        <v>220745.39000000004</v>
      </c>
    </row>
    <row r="48" spans="1:7" x14ac:dyDescent="0.3">
      <c r="A48" t="s">
        <v>119</v>
      </c>
      <c r="B48">
        <f t="shared" si="0"/>
        <v>175149.74000000002</v>
      </c>
      <c r="C48">
        <f t="shared" si="1"/>
        <v>175379.91000000006</v>
      </c>
      <c r="D48" s="5">
        <f t="shared" si="2"/>
        <v>62391.121922336919</v>
      </c>
      <c r="E48" s="5">
        <f t="shared" si="3"/>
        <v>89358.211922336908</v>
      </c>
      <c r="F48">
        <f t="shared" si="4"/>
        <v>700460.15999999957</v>
      </c>
      <c r="G48">
        <f t="shared" si="5"/>
        <v>224711.18000000005</v>
      </c>
    </row>
    <row r="49" spans="1:7" x14ac:dyDescent="0.3">
      <c r="A49" t="s">
        <v>120</v>
      </c>
      <c r="B49">
        <f t="shared" si="0"/>
        <v>179315.21000000002</v>
      </c>
      <c r="C49">
        <f t="shared" si="1"/>
        <v>178320.20000000007</v>
      </c>
      <c r="D49" s="5">
        <f t="shared" si="2"/>
        <v>63037.071922336916</v>
      </c>
      <c r="E49" s="5">
        <f t="shared" si="3"/>
        <v>90004.161922336905</v>
      </c>
      <c r="F49">
        <f t="shared" si="4"/>
        <v>717080.63999999955</v>
      </c>
      <c r="G49">
        <f t="shared" si="5"/>
        <v>228676.97000000006</v>
      </c>
    </row>
    <row r="50" spans="1:7" x14ac:dyDescent="0.3">
      <c r="A50" t="s">
        <v>121</v>
      </c>
      <c r="B50">
        <f t="shared" si="0"/>
        <v>183480.68000000002</v>
      </c>
      <c r="C50">
        <f t="shared" si="1"/>
        <v>181260.49000000008</v>
      </c>
      <c r="D50" s="5">
        <f t="shared" si="2"/>
        <v>63683.021922336913</v>
      </c>
      <c r="E50" s="5">
        <f t="shared" si="3"/>
        <v>90650.111922336902</v>
      </c>
      <c r="F50">
        <f t="shared" si="4"/>
        <v>733701.11999999953</v>
      </c>
      <c r="G50">
        <f t="shared" si="5"/>
        <v>232642.76000000007</v>
      </c>
    </row>
    <row r="51" spans="1:7" x14ac:dyDescent="0.3">
      <c r="A51" t="s">
        <v>122</v>
      </c>
      <c r="B51">
        <f t="shared" si="0"/>
        <v>187646.15000000002</v>
      </c>
      <c r="C51">
        <f t="shared" si="1"/>
        <v>184200.78000000009</v>
      </c>
      <c r="D51" s="5">
        <f t="shared" si="2"/>
        <v>64328.97192233691</v>
      </c>
      <c r="E51" s="5">
        <f t="shared" si="3"/>
        <v>91296.061922336899</v>
      </c>
      <c r="F51">
        <f t="shared" si="4"/>
        <v>750321.59999999951</v>
      </c>
      <c r="G51">
        <f t="shared" si="5"/>
        <v>236608.55000000008</v>
      </c>
    </row>
    <row r="52" spans="1:7" x14ac:dyDescent="0.3">
      <c r="A52" t="s">
        <v>123</v>
      </c>
      <c r="B52">
        <f t="shared" si="0"/>
        <v>191811.62000000002</v>
      </c>
      <c r="C52">
        <f t="shared" si="1"/>
        <v>187141.07000000009</v>
      </c>
      <c r="D52" s="5">
        <f t="shared" si="2"/>
        <v>64974.921922336907</v>
      </c>
      <c r="E52" s="5">
        <f t="shared" si="3"/>
        <v>91942.011922336897</v>
      </c>
      <c r="F52">
        <f t="shared" si="4"/>
        <v>766942.07999999949</v>
      </c>
      <c r="G52">
        <f t="shared" si="5"/>
        <v>240574.34000000008</v>
      </c>
    </row>
    <row r="53" spans="1:7" x14ac:dyDescent="0.3">
      <c r="A53" t="s">
        <v>124</v>
      </c>
      <c r="B53">
        <f t="shared" si="0"/>
        <v>195977.09000000003</v>
      </c>
      <c r="C53">
        <f t="shared" si="1"/>
        <v>190081.3600000001</v>
      </c>
      <c r="D53" s="5">
        <f t="shared" si="2"/>
        <v>65620.871922336912</v>
      </c>
      <c r="E53" s="5">
        <f t="shared" si="3"/>
        <v>92587.961922336894</v>
      </c>
      <c r="F53">
        <f t="shared" si="4"/>
        <v>783562.55999999947</v>
      </c>
      <c r="G53">
        <f t="shared" si="5"/>
        <v>244540.13000000009</v>
      </c>
    </row>
    <row r="54" spans="1:7" x14ac:dyDescent="0.3">
      <c r="A54" t="s">
        <v>125</v>
      </c>
      <c r="B54">
        <f t="shared" si="0"/>
        <v>200142.56000000003</v>
      </c>
      <c r="C54">
        <f t="shared" si="1"/>
        <v>193021.65000000011</v>
      </c>
      <c r="D54" s="5">
        <f t="shared" si="2"/>
        <v>66266.821922336909</v>
      </c>
      <c r="E54" s="5">
        <f t="shared" si="3"/>
        <v>93233.911922336891</v>
      </c>
      <c r="F54">
        <f t="shared" si="4"/>
        <v>800183.03999999946</v>
      </c>
      <c r="G54">
        <f t="shared" si="5"/>
        <v>248505.9200000001</v>
      </c>
    </row>
    <row r="55" spans="1:7" x14ac:dyDescent="0.3">
      <c r="A55" t="s">
        <v>126</v>
      </c>
      <c r="B55">
        <f t="shared" si="0"/>
        <v>204308.03000000003</v>
      </c>
      <c r="C55">
        <f t="shared" si="1"/>
        <v>195961.94000000012</v>
      </c>
      <c r="D55" s="5">
        <f t="shared" si="2"/>
        <v>66912.771922336906</v>
      </c>
      <c r="E55" s="5">
        <f t="shared" si="3"/>
        <v>93879.861922336888</v>
      </c>
      <c r="F55">
        <f t="shared" si="4"/>
        <v>816803.51999999944</v>
      </c>
      <c r="G55">
        <f t="shared" si="5"/>
        <v>252471.71000000011</v>
      </c>
    </row>
    <row r="56" spans="1:7" x14ac:dyDescent="0.3">
      <c r="A56" t="s">
        <v>127</v>
      </c>
      <c r="B56">
        <f>B55+4165.47+100</f>
        <v>208573.50000000003</v>
      </c>
      <c r="C56">
        <f>C55+2940.29+24815</f>
        <v>223717.23000000013</v>
      </c>
      <c r="D56" s="5">
        <f>D55+645.95+3505</f>
        <v>71063.721922336903</v>
      </c>
      <c r="E56" s="5">
        <f>E55+645.95+3505</f>
        <v>98030.811922336885</v>
      </c>
      <c r="F56">
        <f>F55+16620.48+1200</f>
        <v>834623.99999999942</v>
      </c>
      <c r="G56">
        <f>G55+3965.79+29074</f>
        <v>285511.50000000012</v>
      </c>
    </row>
    <row r="57" spans="1:7" x14ac:dyDescent="0.3">
      <c r="A57" t="s">
        <v>128</v>
      </c>
      <c r="B57">
        <f t="shared" si="0"/>
        <v>212738.97000000003</v>
      </c>
      <c r="C57">
        <f t="shared" si="1"/>
        <v>226657.52000000014</v>
      </c>
      <c r="D57" s="5">
        <f t="shared" si="2"/>
        <v>71709.6719223369</v>
      </c>
      <c r="E57" s="5">
        <f t="shared" si="3"/>
        <v>98676.761922336882</v>
      </c>
      <c r="F57">
        <f t="shared" si="4"/>
        <v>851244.4799999994</v>
      </c>
      <c r="G57">
        <f t="shared" si="5"/>
        <v>289477.2900000001</v>
      </c>
    </row>
    <row r="58" spans="1:7" x14ac:dyDescent="0.3">
      <c r="A58" t="s">
        <v>129</v>
      </c>
      <c r="B58">
        <f t="shared" si="0"/>
        <v>216904.44000000003</v>
      </c>
      <c r="C58">
        <f t="shared" si="1"/>
        <v>229597.81000000014</v>
      </c>
      <c r="D58" s="5">
        <f t="shared" si="2"/>
        <v>72355.621922336897</v>
      </c>
      <c r="E58" s="5">
        <f t="shared" si="3"/>
        <v>99322.711922336879</v>
      </c>
      <c r="F58">
        <f t="shared" si="4"/>
        <v>867864.95999999938</v>
      </c>
      <c r="G58">
        <f t="shared" si="5"/>
        <v>293443.08000000007</v>
      </c>
    </row>
    <row r="59" spans="1:7" x14ac:dyDescent="0.3">
      <c r="A59" t="s">
        <v>130</v>
      </c>
      <c r="B59">
        <f t="shared" si="0"/>
        <v>221069.91000000003</v>
      </c>
      <c r="C59">
        <f t="shared" si="1"/>
        <v>232538.10000000015</v>
      </c>
      <c r="D59" s="5">
        <f t="shared" si="2"/>
        <v>73001.571922336894</v>
      </c>
      <c r="E59" s="5">
        <f t="shared" si="3"/>
        <v>99968.661922336876</v>
      </c>
      <c r="F59">
        <f t="shared" si="4"/>
        <v>884485.43999999936</v>
      </c>
      <c r="G59">
        <f t="shared" si="5"/>
        <v>297408.87000000005</v>
      </c>
    </row>
    <row r="60" spans="1:7" x14ac:dyDescent="0.3">
      <c r="A60" t="s">
        <v>131</v>
      </c>
      <c r="B60">
        <f t="shared" si="0"/>
        <v>225235.38000000003</v>
      </c>
      <c r="C60">
        <f t="shared" si="1"/>
        <v>235478.39000000016</v>
      </c>
      <c r="D60" s="5">
        <f t="shared" si="2"/>
        <v>73647.521922336891</v>
      </c>
      <c r="E60" s="5">
        <f t="shared" si="3"/>
        <v>100614.61192233687</v>
      </c>
      <c r="F60">
        <f t="shared" si="4"/>
        <v>901105.91999999934</v>
      </c>
      <c r="G60">
        <f t="shared" si="5"/>
        <v>301374.66000000003</v>
      </c>
    </row>
    <row r="61" spans="1:7" x14ac:dyDescent="0.3">
      <c r="A61" t="s">
        <v>132</v>
      </c>
      <c r="B61">
        <f t="shared" si="0"/>
        <v>229400.85000000003</v>
      </c>
      <c r="C61">
        <f t="shared" si="1"/>
        <v>238418.68000000017</v>
      </c>
      <c r="D61" s="5">
        <f t="shared" si="2"/>
        <v>74293.471922336888</v>
      </c>
      <c r="E61" s="5">
        <f t="shared" si="3"/>
        <v>101260.56192233687</v>
      </c>
      <c r="F61">
        <f t="shared" si="4"/>
        <v>917726.39999999932</v>
      </c>
      <c r="G61">
        <f t="shared" si="5"/>
        <v>305340.45</v>
      </c>
    </row>
    <row r="62" spans="1:7" x14ac:dyDescent="0.3">
      <c r="A62" t="s">
        <v>133</v>
      </c>
      <c r="B62">
        <f t="shared" si="0"/>
        <v>233566.32000000004</v>
      </c>
      <c r="C62">
        <f t="shared" si="1"/>
        <v>241358.97000000018</v>
      </c>
      <c r="D62" s="5">
        <f t="shared" si="2"/>
        <v>74939.421922336885</v>
      </c>
      <c r="E62" s="5">
        <f t="shared" si="3"/>
        <v>101906.51192233687</v>
      </c>
      <c r="F62">
        <f t="shared" si="4"/>
        <v>934346.87999999931</v>
      </c>
      <c r="G62">
        <f t="shared" si="5"/>
        <v>309306.23999999999</v>
      </c>
    </row>
    <row r="63" spans="1:7" x14ac:dyDescent="0.3">
      <c r="A63" t="s">
        <v>134</v>
      </c>
      <c r="B63">
        <f t="shared" si="0"/>
        <v>237731.79000000004</v>
      </c>
      <c r="C63">
        <f t="shared" si="1"/>
        <v>244299.26000000018</v>
      </c>
      <c r="D63" s="5">
        <f t="shared" si="2"/>
        <v>75585.371922336883</v>
      </c>
      <c r="E63" s="5">
        <f t="shared" si="3"/>
        <v>102552.46192233686</v>
      </c>
      <c r="F63">
        <f t="shared" si="4"/>
        <v>950967.35999999929</v>
      </c>
      <c r="G63">
        <f t="shared" si="5"/>
        <v>313272.02999999997</v>
      </c>
    </row>
    <row r="64" spans="1:7" x14ac:dyDescent="0.3">
      <c r="A64" t="s">
        <v>135</v>
      </c>
      <c r="B64">
        <f t="shared" si="0"/>
        <v>241897.26000000004</v>
      </c>
      <c r="C64">
        <f t="shared" si="1"/>
        <v>247239.55000000019</v>
      </c>
      <c r="D64" s="5">
        <f t="shared" si="2"/>
        <v>76231.32192233688</v>
      </c>
      <c r="E64" s="5">
        <f t="shared" si="3"/>
        <v>103198.41192233686</v>
      </c>
      <c r="F64">
        <f t="shared" si="4"/>
        <v>967587.83999999927</v>
      </c>
      <c r="G64">
        <f t="shared" si="5"/>
        <v>317237.81999999995</v>
      </c>
    </row>
    <row r="65" spans="1:7" x14ac:dyDescent="0.3">
      <c r="A65" t="s">
        <v>136</v>
      </c>
      <c r="B65">
        <f t="shared" si="0"/>
        <v>246062.73000000004</v>
      </c>
      <c r="C65">
        <f t="shared" si="1"/>
        <v>250179.8400000002</v>
      </c>
      <c r="D65" s="5">
        <f t="shared" si="2"/>
        <v>76877.271922336877</v>
      </c>
      <c r="E65" s="5">
        <f t="shared" si="3"/>
        <v>103844.36192233686</v>
      </c>
      <c r="F65">
        <f t="shared" si="4"/>
        <v>984208.31999999925</v>
      </c>
      <c r="G65">
        <f t="shared" si="5"/>
        <v>321203.60999999993</v>
      </c>
    </row>
    <row r="66" spans="1:7" x14ac:dyDescent="0.3">
      <c r="A66" t="s">
        <v>137</v>
      </c>
      <c r="B66">
        <f t="shared" si="0"/>
        <v>250228.20000000004</v>
      </c>
      <c r="C66">
        <f t="shared" si="1"/>
        <v>253120.13000000021</v>
      </c>
      <c r="D66" s="5">
        <f t="shared" si="2"/>
        <v>77523.221922336874</v>
      </c>
      <c r="E66" s="5">
        <f t="shared" si="3"/>
        <v>104490.31192233686</v>
      </c>
      <c r="F66">
        <f t="shared" si="4"/>
        <v>1000828.7999999992</v>
      </c>
      <c r="G66">
        <f t="shared" si="5"/>
        <v>325169.39999999991</v>
      </c>
    </row>
    <row r="67" spans="1:7" x14ac:dyDescent="0.3">
      <c r="A67" t="s">
        <v>138</v>
      </c>
      <c r="B67">
        <f t="shared" si="0"/>
        <v>254393.67000000004</v>
      </c>
      <c r="C67">
        <f t="shared" si="1"/>
        <v>256060.42000000022</v>
      </c>
      <c r="D67" s="5">
        <f t="shared" si="2"/>
        <v>78169.171922336871</v>
      </c>
      <c r="E67" s="5">
        <f t="shared" si="3"/>
        <v>105136.26192233685</v>
      </c>
      <c r="F67">
        <f t="shared" si="4"/>
        <v>1017449.2799999992</v>
      </c>
      <c r="G67">
        <f t="shared" si="5"/>
        <v>329135.18999999989</v>
      </c>
    </row>
    <row r="68" spans="1:7" x14ac:dyDescent="0.3">
      <c r="A68" t="s">
        <v>139</v>
      </c>
      <c r="B68">
        <f t="shared" si="0"/>
        <v>258559.14000000004</v>
      </c>
      <c r="C68">
        <f t="shared" si="1"/>
        <v>259000.71000000022</v>
      </c>
      <c r="D68" s="5">
        <f t="shared" si="2"/>
        <v>78815.121922336868</v>
      </c>
      <c r="E68" s="5">
        <f t="shared" si="3"/>
        <v>105782.21192233685</v>
      </c>
      <c r="F68">
        <f t="shared" si="4"/>
        <v>1034069.7599999992</v>
      </c>
      <c r="G68">
        <f t="shared" si="5"/>
        <v>333100.97999999986</v>
      </c>
    </row>
    <row r="69" spans="1:7" x14ac:dyDescent="0.3">
      <c r="A69" t="s">
        <v>140</v>
      </c>
      <c r="B69">
        <f t="shared" si="0"/>
        <v>262724.61000000004</v>
      </c>
      <c r="C69">
        <f t="shared" si="1"/>
        <v>261941.00000000023</v>
      </c>
      <c r="D69" s="5">
        <f t="shared" si="2"/>
        <v>79461.071922336865</v>
      </c>
      <c r="E69" s="5">
        <f t="shared" si="3"/>
        <v>106428.16192233685</v>
      </c>
      <c r="F69">
        <f t="shared" si="4"/>
        <v>1050690.2399999993</v>
      </c>
      <c r="G69">
        <f t="shared" si="5"/>
        <v>337066.76999999984</v>
      </c>
    </row>
    <row r="70" spans="1:7" x14ac:dyDescent="0.3">
      <c r="A70" t="s">
        <v>141</v>
      </c>
      <c r="B70">
        <f t="shared" si="0"/>
        <v>266890.08</v>
      </c>
      <c r="C70">
        <f t="shared" si="1"/>
        <v>264881.29000000021</v>
      </c>
      <c r="D70" s="5">
        <f t="shared" si="2"/>
        <v>80107.021922336862</v>
      </c>
      <c r="E70" s="5">
        <f t="shared" si="3"/>
        <v>107074.11192233684</v>
      </c>
      <c r="F70">
        <f t="shared" si="4"/>
        <v>1067310.7199999993</v>
      </c>
      <c r="G70">
        <f t="shared" si="5"/>
        <v>341032.55999999982</v>
      </c>
    </row>
    <row r="71" spans="1:7" x14ac:dyDescent="0.3">
      <c r="A71" t="s">
        <v>142</v>
      </c>
      <c r="B71">
        <f t="shared" si="0"/>
        <v>271055.55</v>
      </c>
      <c r="C71">
        <f t="shared" si="1"/>
        <v>267821.58000000019</v>
      </c>
      <c r="D71" s="5">
        <f t="shared" si="2"/>
        <v>80752.971922336859</v>
      </c>
      <c r="E71" s="5">
        <f t="shared" si="3"/>
        <v>107720.06192233684</v>
      </c>
      <c r="F71">
        <f t="shared" si="4"/>
        <v>1083931.1999999993</v>
      </c>
      <c r="G71">
        <f t="shared" si="5"/>
        <v>344998.3499999998</v>
      </c>
    </row>
    <row r="72" spans="1:7" x14ac:dyDescent="0.3">
      <c r="A72" t="s">
        <v>143</v>
      </c>
      <c r="B72">
        <f t="shared" ref="B72:B106" si="6">B71+4165.47</f>
        <v>275221.01999999996</v>
      </c>
      <c r="C72">
        <f t="shared" ref="C72:C106" si="7">C71+2940.29</f>
        <v>270761.87000000017</v>
      </c>
      <c r="D72" s="5">
        <f t="shared" ref="D72:D106" si="8">D71+645.95</f>
        <v>81398.921922336856</v>
      </c>
      <c r="E72" s="5">
        <f t="shared" ref="E72:E106" si="9">E71+645.95</f>
        <v>108366.01192233684</v>
      </c>
      <c r="F72">
        <f t="shared" ref="F72:F106" si="10">F71+16620.48</f>
        <v>1100551.6799999992</v>
      </c>
      <c r="G72">
        <f t="shared" ref="G72:G106" si="11">G71+3965.79</f>
        <v>348964.13999999978</v>
      </c>
    </row>
    <row r="73" spans="1:7" x14ac:dyDescent="0.3">
      <c r="A73" t="s">
        <v>144</v>
      </c>
      <c r="B73">
        <f t="shared" si="6"/>
        <v>279386.48999999993</v>
      </c>
      <c r="C73">
        <f t="shared" si="7"/>
        <v>273702.16000000015</v>
      </c>
      <c r="D73" s="5">
        <f t="shared" si="8"/>
        <v>82044.871922336853</v>
      </c>
      <c r="E73" s="5">
        <f t="shared" si="9"/>
        <v>109011.96192233684</v>
      </c>
      <c r="F73">
        <f t="shared" si="10"/>
        <v>1117172.1599999992</v>
      </c>
      <c r="G73">
        <f t="shared" si="11"/>
        <v>352929.92999999976</v>
      </c>
    </row>
    <row r="74" spans="1:7" x14ac:dyDescent="0.3">
      <c r="A74" t="s">
        <v>145</v>
      </c>
      <c r="B74">
        <f t="shared" si="6"/>
        <v>283551.9599999999</v>
      </c>
      <c r="C74">
        <f t="shared" si="7"/>
        <v>276642.45000000013</v>
      </c>
      <c r="D74" s="5">
        <f t="shared" si="8"/>
        <v>82690.821922336851</v>
      </c>
      <c r="E74" s="5">
        <f t="shared" si="9"/>
        <v>109657.91192233683</v>
      </c>
      <c r="F74">
        <f t="shared" si="10"/>
        <v>1133792.6399999992</v>
      </c>
      <c r="G74">
        <f t="shared" si="11"/>
        <v>356895.71999999974</v>
      </c>
    </row>
    <row r="75" spans="1:7" x14ac:dyDescent="0.3">
      <c r="A75" t="s">
        <v>146</v>
      </c>
      <c r="B75">
        <f t="shared" si="6"/>
        <v>287717.42999999988</v>
      </c>
      <c r="C75">
        <f t="shared" si="7"/>
        <v>279582.74000000011</v>
      </c>
      <c r="D75" s="5">
        <f t="shared" si="8"/>
        <v>83336.771922336848</v>
      </c>
      <c r="E75" s="5">
        <f t="shared" si="9"/>
        <v>110303.86192233683</v>
      </c>
      <c r="F75">
        <f t="shared" si="10"/>
        <v>1150413.1199999992</v>
      </c>
      <c r="G75">
        <f t="shared" si="11"/>
        <v>360861.50999999972</v>
      </c>
    </row>
    <row r="76" spans="1:7" x14ac:dyDescent="0.3">
      <c r="A76" t="s">
        <v>147</v>
      </c>
      <c r="B76">
        <f t="shared" si="6"/>
        <v>291882.89999999985</v>
      </c>
      <c r="C76">
        <f t="shared" si="7"/>
        <v>282523.03000000009</v>
      </c>
      <c r="D76" s="5">
        <f t="shared" si="8"/>
        <v>83982.721922336845</v>
      </c>
      <c r="E76" s="5">
        <f t="shared" si="9"/>
        <v>110949.81192233683</v>
      </c>
      <c r="F76">
        <f t="shared" si="10"/>
        <v>1167033.5999999992</v>
      </c>
      <c r="G76">
        <f t="shared" si="11"/>
        <v>364827.2999999997</v>
      </c>
    </row>
    <row r="77" spans="1:7" x14ac:dyDescent="0.3">
      <c r="A77" t="s">
        <v>148</v>
      </c>
      <c r="B77">
        <f t="shared" si="6"/>
        <v>296048.36999999982</v>
      </c>
      <c r="C77">
        <f t="shared" si="7"/>
        <v>285463.32000000007</v>
      </c>
      <c r="D77" s="5">
        <f t="shared" si="8"/>
        <v>84628.671922336842</v>
      </c>
      <c r="E77" s="5">
        <f t="shared" si="9"/>
        <v>111595.76192233682</v>
      </c>
      <c r="F77">
        <f t="shared" si="10"/>
        <v>1183654.0799999991</v>
      </c>
      <c r="G77">
        <f t="shared" si="11"/>
        <v>368793.08999999968</v>
      </c>
    </row>
    <row r="78" spans="1:7" x14ac:dyDescent="0.3">
      <c r="A78" t="s">
        <v>149</v>
      </c>
      <c r="B78">
        <f t="shared" si="6"/>
        <v>300213.83999999979</v>
      </c>
      <c r="C78">
        <f t="shared" si="7"/>
        <v>288403.61000000004</v>
      </c>
      <c r="D78" s="5">
        <f t="shared" si="8"/>
        <v>85274.621922336839</v>
      </c>
      <c r="E78" s="5">
        <f t="shared" si="9"/>
        <v>112241.71192233682</v>
      </c>
      <c r="F78">
        <f t="shared" si="10"/>
        <v>1200274.5599999991</v>
      </c>
      <c r="G78">
        <f t="shared" si="11"/>
        <v>372758.87999999966</v>
      </c>
    </row>
    <row r="79" spans="1:7" x14ac:dyDescent="0.3">
      <c r="A79" t="s">
        <v>150</v>
      </c>
      <c r="B79">
        <f t="shared" si="6"/>
        <v>304379.30999999976</v>
      </c>
      <c r="C79">
        <f t="shared" si="7"/>
        <v>291343.90000000002</v>
      </c>
      <c r="D79" s="5">
        <f t="shared" si="8"/>
        <v>85920.571922336836</v>
      </c>
      <c r="E79" s="5">
        <f t="shared" si="9"/>
        <v>112887.66192233682</v>
      </c>
      <c r="F79">
        <f t="shared" si="10"/>
        <v>1216895.0399999991</v>
      </c>
      <c r="G79">
        <f t="shared" si="11"/>
        <v>376724.66999999963</v>
      </c>
    </row>
    <row r="80" spans="1:7" x14ac:dyDescent="0.3">
      <c r="A80" t="s">
        <v>151</v>
      </c>
      <c r="B80">
        <f t="shared" si="6"/>
        <v>308544.77999999974</v>
      </c>
      <c r="C80">
        <f t="shared" si="7"/>
        <v>294284.19</v>
      </c>
      <c r="D80" s="5">
        <f t="shared" si="8"/>
        <v>86566.521922336833</v>
      </c>
      <c r="E80" s="5">
        <f t="shared" si="9"/>
        <v>113533.61192233682</v>
      </c>
      <c r="F80">
        <f t="shared" si="10"/>
        <v>1233515.5199999991</v>
      </c>
      <c r="G80">
        <f t="shared" si="11"/>
        <v>380690.45999999961</v>
      </c>
    </row>
    <row r="81" spans="1:7" x14ac:dyDescent="0.3">
      <c r="A81" t="s">
        <v>152</v>
      </c>
      <c r="B81">
        <f>B80+4165.47+100</f>
        <v>312810.24999999971</v>
      </c>
      <c r="C81">
        <f>C80+2940.29+24815</f>
        <v>322039.48</v>
      </c>
      <c r="D81" s="5">
        <f>D80+645.95+3505</f>
        <v>90717.47192233683</v>
      </c>
      <c r="E81" s="5">
        <f>E80+645.95+3505</f>
        <v>117684.56192233681</v>
      </c>
      <c r="F81">
        <f>F80+16620.48+1200</f>
        <v>1251335.9999999991</v>
      </c>
      <c r="G81">
        <f>G80+3965.79+29074</f>
        <v>413730.24999999959</v>
      </c>
    </row>
    <row r="82" spans="1:7" x14ac:dyDescent="0.3">
      <c r="A82" t="s">
        <v>153</v>
      </c>
      <c r="B82">
        <f t="shared" si="6"/>
        <v>316975.71999999968</v>
      </c>
      <c r="C82">
        <f t="shared" si="7"/>
        <v>324979.76999999996</v>
      </c>
      <c r="D82" s="5">
        <f t="shared" si="8"/>
        <v>91363.421922336827</v>
      </c>
      <c r="E82" s="5">
        <f t="shared" si="9"/>
        <v>118330.51192233681</v>
      </c>
      <c r="F82">
        <f t="shared" si="10"/>
        <v>1267956.4799999991</v>
      </c>
      <c r="G82">
        <f t="shared" si="11"/>
        <v>417696.03999999957</v>
      </c>
    </row>
    <row r="83" spans="1:7" x14ac:dyDescent="0.3">
      <c r="A83" t="s">
        <v>154</v>
      </c>
      <c r="B83">
        <f t="shared" si="6"/>
        <v>321141.18999999965</v>
      </c>
      <c r="C83">
        <f t="shared" si="7"/>
        <v>327920.05999999994</v>
      </c>
      <c r="D83" s="5">
        <f t="shared" si="8"/>
        <v>92009.371922336824</v>
      </c>
      <c r="E83" s="5">
        <f t="shared" si="9"/>
        <v>118976.46192233681</v>
      </c>
      <c r="F83">
        <f t="shared" si="10"/>
        <v>1284576.959999999</v>
      </c>
      <c r="G83">
        <f t="shared" si="11"/>
        <v>421661.82999999955</v>
      </c>
    </row>
    <row r="84" spans="1:7" x14ac:dyDescent="0.3">
      <c r="A84" t="s">
        <v>155</v>
      </c>
      <c r="B84">
        <f t="shared" si="6"/>
        <v>325306.65999999963</v>
      </c>
      <c r="C84">
        <f t="shared" si="7"/>
        <v>330860.34999999992</v>
      </c>
      <c r="D84" s="5">
        <f t="shared" si="8"/>
        <v>92655.321922336821</v>
      </c>
      <c r="E84" s="5">
        <f t="shared" si="9"/>
        <v>119622.4119223368</v>
      </c>
      <c r="F84">
        <f t="shared" si="10"/>
        <v>1301197.439999999</v>
      </c>
      <c r="G84">
        <f t="shared" si="11"/>
        <v>425627.61999999953</v>
      </c>
    </row>
    <row r="85" spans="1:7" x14ac:dyDescent="0.3">
      <c r="A85" t="s">
        <v>156</v>
      </c>
      <c r="B85">
        <f t="shared" si="6"/>
        <v>329472.1299999996</v>
      </c>
      <c r="C85">
        <f t="shared" si="7"/>
        <v>333800.6399999999</v>
      </c>
      <c r="D85" s="5">
        <f t="shared" si="8"/>
        <v>93301.271922336819</v>
      </c>
      <c r="E85" s="5">
        <f t="shared" si="9"/>
        <v>120268.3619223368</v>
      </c>
      <c r="F85">
        <f t="shared" si="10"/>
        <v>1317817.919999999</v>
      </c>
      <c r="G85">
        <f t="shared" si="11"/>
        <v>429593.40999999951</v>
      </c>
    </row>
    <row r="86" spans="1:7" x14ac:dyDescent="0.3">
      <c r="A86" t="s">
        <v>157</v>
      </c>
      <c r="B86">
        <f t="shared" si="6"/>
        <v>333637.59999999957</v>
      </c>
      <c r="C86">
        <f t="shared" si="7"/>
        <v>336740.92999999988</v>
      </c>
      <c r="D86" s="5">
        <f t="shared" si="8"/>
        <v>93947.221922336816</v>
      </c>
      <c r="E86" s="5">
        <f t="shared" si="9"/>
        <v>120914.3119223368</v>
      </c>
      <c r="F86">
        <f t="shared" si="10"/>
        <v>1334438.399999999</v>
      </c>
      <c r="G86">
        <f t="shared" si="11"/>
        <v>433559.19999999949</v>
      </c>
    </row>
    <row r="87" spans="1:7" x14ac:dyDescent="0.3">
      <c r="A87" t="s">
        <v>158</v>
      </c>
      <c r="B87">
        <f t="shared" si="6"/>
        <v>337803.06999999954</v>
      </c>
      <c r="C87">
        <f t="shared" si="7"/>
        <v>339681.21999999986</v>
      </c>
      <c r="D87" s="5">
        <f t="shared" si="8"/>
        <v>94593.171922336813</v>
      </c>
      <c r="E87" s="5">
        <f t="shared" si="9"/>
        <v>121560.26192233679</v>
      </c>
      <c r="F87">
        <f t="shared" si="10"/>
        <v>1351058.879999999</v>
      </c>
      <c r="G87">
        <f t="shared" si="11"/>
        <v>437524.98999999947</v>
      </c>
    </row>
    <row r="88" spans="1:7" x14ac:dyDescent="0.3">
      <c r="A88" t="s">
        <v>159</v>
      </c>
      <c r="B88">
        <f t="shared" si="6"/>
        <v>341968.53999999951</v>
      </c>
      <c r="C88">
        <f t="shared" si="7"/>
        <v>342621.50999999983</v>
      </c>
      <c r="D88" s="5">
        <f t="shared" si="8"/>
        <v>95239.12192233681</v>
      </c>
      <c r="E88" s="5">
        <f t="shared" si="9"/>
        <v>122206.21192233679</v>
      </c>
      <c r="F88">
        <f t="shared" si="10"/>
        <v>1367679.3599999989</v>
      </c>
      <c r="G88">
        <f t="shared" si="11"/>
        <v>441490.77999999945</v>
      </c>
    </row>
    <row r="89" spans="1:7" x14ac:dyDescent="0.3">
      <c r="A89" t="s">
        <v>160</v>
      </c>
      <c r="B89">
        <f t="shared" si="6"/>
        <v>346134.00999999949</v>
      </c>
      <c r="C89">
        <f t="shared" si="7"/>
        <v>345561.79999999981</v>
      </c>
      <c r="D89" s="5">
        <f t="shared" si="8"/>
        <v>95885.071922336807</v>
      </c>
      <c r="E89" s="5">
        <f t="shared" si="9"/>
        <v>122852.16192233679</v>
      </c>
      <c r="F89">
        <f t="shared" si="10"/>
        <v>1384299.8399999989</v>
      </c>
      <c r="G89">
        <f t="shared" si="11"/>
        <v>445456.56999999942</v>
      </c>
    </row>
    <row r="90" spans="1:7" x14ac:dyDescent="0.3">
      <c r="A90" t="s">
        <v>161</v>
      </c>
      <c r="B90">
        <f t="shared" si="6"/>
        <v>350299.47999999946</v>
      </c>
      <c r="C90">
        <f t="shared" si="7"/>
        <v>348502.08999999979</v>
      </c>
      <c r="D90" s="5">
        <f t="shared" si="8"/>
        <v>96531.021922336804</v>
      </c>
      <c r="E90" s="5">
        <f t="shared" si="9"/>
        <v>123498.11192233679</v>
      </c>
      <c r="F90">
        <f t="shared" si="10"/>
        <v>1400920.3199999989</v>
      </c>
      <c r="G90">
        <f t="shared" si="11"/>
        <v>449422.3599999994</v>
      </c>
    </row>
    <row r="91" spans="1:7" x14ac:dyDescent="0.3">
      <c r="A91" t="s">
        <v>162</v>
      </c>
      <c r="B91">
        <f t="shared" si="6"/>
        <v>354464.94999999943</v>
      </c>
      <c r="C91">
        <f t="shared" si="7"/>
        <v>351442.37999999977</v>
      </c>
      <c r="D91" s="5">
        <f t="shared" si="8"/>
        <v>97176.971922336801</v>
      </c>
      <c r="E91" s="5">
        <f t="shared" si="9"/>
        <v>124144.06192233678</v>
      </c>
      <c r="F91">
        <f t="shared" si="10"/>
        <v>1417540.7999999989</v>
      </c>
      <c r="G91">
        <f t="shared" si="11"/>
        <v>453388.14999999938</v>
      </c>
    </row>
    <row r="92" spans="1:7" x14ac:dyDescent="0.3">
      <c r="A92" t="s">
        <v>163</v>
      </c>
      <c r="B92">
        <f t="shared" si="6"/>
        <v>358630.4199999994</v>
      </c>
      <c r="C92">
        <f t="shared" si="7"/>
        <v>354382.66999999975</v>
      </c>
      <c r="D92" s="5">
        <f t="shared" si="8"/>
        <v>97822.921922336798</v>
      </c>
      <c r="E92" s="5">
        <f t="shared" si="9"/>
        <v>124790.01192233678</v>
      </c>
      <c r="F92">
        <f t="shared" si="10"/>
        <v>1434161.2799999989</v>
      </c>
      <c r="G92">
        <f t="shared" si="11"/>
        <v>457353.93999999936</v>
      </c>
    </row>
    <row r="93" spans="1:7" x14ac:dyDescent="0.3">
      <c r="A93" t="s">
        <v>164</v>
      </c>
      <c r="B93">
        <f t="shared" si="6"/>
        <v>362795.88999999937</v>
      </c>
      <c r="C93">
        <f t="shared" si="7"/>
        <v>357322.95999999973</v>
      </c>
      <c r="D93" s="5">
        <f t="shared" si="8"/>
        <v>98468.871922336795</v>
      </c>
      <c r="E93" s="5">
        <f t="shared" si="9"/>
        <v>125435.96192233678</v>
      </c>
      <c r="F93">
        <f t="shared" si="10"/>
        <v>1450781.7599999988</v>
      </c>
      <c r="G93">
        <f t="shared" si="11"/>
        <v>461319.72999999934</v>
      </c>
    </row>
    <row r="94" spans="1:7" x14ac:dyDescent="0.3">
      <c r="A94" t="s">
        <v>165</v>
      </c>
      <c r="B94">
        <f t="shared" si="6"/>
        <v>366961.35999999935</v>
      </c>
      <c r="C94">
        <f t="shared" si="7"/>
        <v>360263.24999999971</v>
      </c>
      <c r="D94" s="5">
        <f t="shared" si="8"/>
        <v>99114.821922336792</v>
      </c>
      <c r="E94" s="5">
        <f t="shared" si="9"/>
        <v>126081.91192233677</v>
      </c>
      <c r="F94">
        <f t="shared" si="10"/>
        <v>1467402.2399999988</v>
      </c>
      <c r="G94">
        <f t="shared" si="11"/>
        <v>465285.51999999932</v>
      </c>
    </row>
    <row r="95" spans="1:7" x14ac:dyDescent="0.3">
      <c r="A95" t="s">
        <v>166</v>
      </c>
      <c r="B95">
        <f t="shared" si="6"/>
        <v>371126.82999999932</v>
      </c>
      <c r="C95">
        <f t="shared" si="7"/>
        <v>363203.53999999969</v>
      </c>
      <c r="D95" s="5">
        <f t="shared" si="8"/>
        <v>99760.771922336789</v>
      </c>
      <c r="E95" s="5">
        <f t="shared" si="9"/>
        <v>126727.86192233677</v>
      </c>
      <c r="F95">
        <f t="shared" si="10"/>
        <v>1484022.7199999988</v>
      </c>
      <c r="G95">
        <f t="shared" si="11"/>
        <v>469251.3099999993</v>
      </c>
    </row>
    <row r="96" spans="1:7" x14ac:dyDescent="0.3">
      <c r="A96" t="s">
        <v>167</v>
      </c>
      <c r="B96">
        <f t="shared" si="6"/>
        <v>375292.29999999929</v>
      </c>
      <c r="C96">
        <f t="shared" si="7"/>
        <v>366143.82999999967</v>
      </c>
      <c r="D96" s="5">
        <f t="shared" si="8"/>
        <v>100406.72192233679</v>
      </c>
      <c r="E96" s="5">
        <f t="shared" si="9"/>
        <v>127373.81192233677</v>
      </c>
      <c r="F96">
        <f t="shared" si="10"/>
        <v>1500643.1999999988</v>
      </c>
      <c r="G96">
        <f t="shared" si="11"/>
        <v>473217.09999999928</v>
      </c>
    </row>
    <row r="97" spans="1:7" x14ac:dyDescent="0.3">
      <c r="A97" t="s">
        <v>168</v>
      </c>
      <c r="B97">
        <f t="shared" si="6"/>
        <v>379457.76999999926</v>
      </c>
      <c r="C97">
        <f t="shared" si="7"/>
        <v>369084.11999999965</v>
      </c>
      <c r="D97" s="5">
        <f t="shared" si="8"/>
        <v>101052.67192233678</v>
      </c>
      <c r="E97" s="5">
        <f t="shared" si="9"/>
        <v>128019.76192233677</v>
      </c>
      <c r="F97">
        <f t="shared" si="10"/>
        <v>1517263.6799999988</v>
      </c>
      <c r="G97">
        <f t="shared" si="11"/>
        <v>477182.88999999926</v>
      </c>
    </row>
    <row r="98" spans="1:7" x14ac:dyDescent="0.3">
      <c r="A98" t="s">
        <v>169</v>
      </c>
      <c r="B98">
        <f t="shared" si="6"/>
        <v>383623.23999999923</v>
      </c>
      <c r="C98">
        <f t="shared" si="7"/>
        <v>372024.40999999963</v>
      </c>
      <c r="D98" s="5">
        <f t="shared" si="8"/>
        <v>101698.62192233678</v>
      </c>
      <c r="E98" s="5">
        <f t="shared" si="9"/>
        <v>128665.71192233676</v>
      </c>
      <c r="F98">
        <f t="shared" si="10"/>
        <v>1533884.1599999988</v>
      </c>
      <c r="G98">
        <f t="shared" si="11"/>
        <v>481148.67999999924</v>
      </c>
    </row>
    <row r="99" spans="1:7" x14ac:dyDescent="0.3">
      <c r="A99" t="s">
        <v>170</v>
      </c>
      <c r="B99">
        <f t="shared" si="6"/>
        <v>387788.70999999921</v>
      </c>
      <c r="C99">
        <f t="shared" si="7"/>
        <v>374964.6999999996</v>
      </c>
      <c r="D99" s="5">
        <f t="shared" si="8"/>
        <v>102344.57192233678</v>
      </c>
      <c r="E99" s="5">
        <f t="shared" si="9"/>
        <v>129311.66192233676</v>
      </c>
      <c r="F99">
        <f t="shared" si="10"/>
        <v>1550504.6399999987</v>
      </c>
      <c r="G99">
        <f t="shared" si="11"/>
        <v>485114.46999999922</v>
      </c>
    </row>
    <row r="100" spans="1:7" x14ac:dyDescent="0.3">
      <c r="A100" t="s">
        <v>171</v>
      </c>
      <c r="B100">
        <f t="shared" si="6"/>
        <v>391954.17999999918</v>
      </c>
      <c r="C100">
        <f t="shared" si="7"/>
        <v>377904.98999999958</v>
      </c>
      <c r="D100" s="5">
        <f t="shared" si="8"/>
        <v>102990.52192233677</v>
      </c>
      <c r="E100" s="5">
        <f t="shared" si="9"/>
        <v>129957.61192233676</v>
      </c>
      <c r="F100">
        <f t="shared" si="10"/>
        <v>1567125.1199999987</v>
      </c>
      <c r="G100">
        <f t="shared" si="11"/>
        <v>489080.25999999919</v>
      </c>
    </row>
    <row r="101" spans="1:7" x14ac:dyDescent="0.3">
      <c r="A101" t="s">
        <v>172</v>
      </c>
      <c r="B101">
        <f t="shared" si="6"/>
        <v>396119.64999999915</v>
      </c>
      <c r="C101">
        <f t="shared" si="7"/>
        <v>380845.27999999956</v>
      </c>
      <c r="D101" s="5">
        <f t="shared" si="8"/>
        <v>103636.47192233677</v>
      </c>
      <c r="E101" s="5">
        <f t="shared" si="9"/>
        <v>130603.56192233675</v>
      </c>
      <c r="F101">
        <f t="shared" si="10"/>
        <v>1583745.5999999987</v>
      </c>
      <c r="G101">
        <f t="shared" si="11"/>
        <v>493046.04999999917</v>
      </c>
    </row>
    <row r="102" spans="1:7" x14ac:dyDescent="0.3">
      <c r="A102" t="s">
        <v>173</v>
      </c>
      <c r="B102">
        <f t="shared" si="6"/>
        <v>400285.11999999912</v>
      </c>
      <c r="C102">
        <f t="shared" si="7"/>
        <v>383785.56999999954</v>
      </c>
      <c r="D102" s="5">
        <f t="shared" si="8"/>
        <v>104282.42192233677</v>
      </c>
      <c r="E102" s="5">
        <f t="shared" si="9"/>
        <v>131249.51192233677</v>
      </c>
      <c r="F102">
        <f t="shared" si="10"/>
        <v>1600366.0799999987</v>
      </c>
      <c r="G102">
        <f t="shared" si="11"/>
        <v>497011.83999999915</v>
      </c>
    </row>
    <row r="103" spans="1:7" x14ac:dyDescent="0.3">
      <c r="A103" t="s">
        <v>174</v>
      </c>
      <c r="B103">
        <f t="shared" si="6"/>
        <v>404450.58999999909</v>
      </c>
      <c r="C103">
        <f t="shared" si="7"/>
        <v>386725.85999999952</v>
      </c>
      <c r="D103" s="5">
        <f t="shared" si="8"/>
        <v>104928.37192233677</v>
      </c>
      <c r="E103" s="5">
        <f t="shared" si="9"/>
        <v>131895.46192233678</v>
      </c>
      <c r="F103">
        <f t="shared" si="10"/>
        <v>1616986.5599999987</v>
      </c>
      <c r="G103">
        <f t="shared" si="11"/>
        <v>500977.62999999913</v>
      </c>
    </row>
    <row r="104" spans="1:7" x14ac:dyDescent="0.3">
      <c r="A104" t="s">
        <v>175</v>
      </c>
      <c r="B104">
        <f t="shared" si="6"/>
        <v>408616.05999999907</v>
      </c>
      <c r="C104">
        <f t="shared" si="7"/>
        <v>389666.1499999995</v>
      </c>
      <c r="D104" s="5">
        <f t="shared" si="8"/>
        <v>105574.32192233676</v>
      </c>
      <c r="E104" s="5">
        <f t="shared" si="9"/>
        <v>132541.41192233679</v>
      </c>
      <c r="F104">
        <f t="shared" si="10"/>
        <v>1633607.0399999986</v>
      </c>
      <c r="G104">
        <f t="shared" si="11"/>
        <v>504943.41999999911</v>
      </c>
    </row>
    <row r="105" spans="1:7" x14ac:dyDescent="0.3">
      <c r="A105" t="s">
        <v>176</v>
      </c>
      <c r="B105">
        <f t="shared" si="6"/>
        <v>412781.52999999904</v>
      </c>
      <c r="C105">
        <f t="shared" si="7"/>
        <v>392606.43999999948</v>
      </c>
      <c r="D105" s="5">
        <f t="shared" si="8"/>
        <v>106220.27192233676</v>
      </c>
      <c r="E105" s="5">
        <f t="shared" si="9"/>
        <v>133187.3619223368</v>
      </c>
      <c r="F105">
        <f t="shared" si="10"/>
        <v>1650227.5199999986</v>
      </c>
      <c r="G105">
        <f t="shared" si="11"/>
        <v>508909.20999999909</v>
      </c>
    </row>
    <row r="106" spans="1:7" x14ac:dyDescent="0.3">
      <c r="A106" t="s">
        <v>177</v>
      </c>
      <c r="B106">
        <f t="shared" si="6"/>
        <v>416946.99999999901</v>
      </c>
      <c r="C106">
        <f t="shared" si="7"/>
        <v>395546.72999999946</v>
      </c>
      <c r="D106" s="5">
        <f t="shared" si="8"/>
        <v>106866.22192233676</v>
      </c>
      <c r="E106" s="5">
        <f t="shared" si="9"/>
        <v>133833.31192233681</v>
      </c>
      <c r="F106">
        <f t="shared" si="10"/>
        <v>1666847.9999999986</v>
      </c>
      <c r="G106">
        <f t="shared" si="11"/>
        <v>512874.99999999907</v>
      </c>
    </row>
    <row r="111" spans="1:7" x14ac:dyDescent="0.3">
      <c r="A111" t="s">
        <v>181</v>
      </c>
      <c r="C111">
        <v>2257.73</v>
      </c>
      <c r="D111">
        <v>17738.22</v>
      </c>
      <c r="E111">
        <v>17738.22</v>
      </c>
    </row>
    <row r="112" spans="1:7" x14ac:dyDescent="0.3">
      <c r="A112" t="s">
        <v>182</v>
      </c>
      <c r="C112">
        <v>2900</v>
      </c>
      <c r="D112">
        <v>13410</v>
      </c>
      <c r="E112">
        <v>34072</v>
      </c>
    </row>
    <row r="113" spans="1:5" x14ac:dyDescent="0.3">
      <c r="A113" t="s">
        <v>183</v>
      </c>
      <c r="B113">
        <v>12973</v>
      </c>
      <c r="C113">
        <v>8629</v>
      </c>
      <c r="D113">
        <f>3505+608</f>
        <v>4113</v>
      </c>
      <c r="E113">
        <f>3505+608</f>
        <v>4113</v>
      </c>
    </row>
  </sheetData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393B8-68F7-4FB6-9D29-6116E816EC7F}">
  <dimension ref="A2:G113"/>
  <sheetViews>
    <sheetView topLeftCell="F38" workbookViewId="0">
      <selection activeCell="B7" sqref="B7:B106"/>
    </sheetView>
  </sheetViews>
  <sheetFormatPr defaultRowHeight="14.4" x14ac:dyDescent="0.3"/>
  <cols>
    <col min="2" max="2" width="17.21875" customWidth="1"/>
    <col min="5" max="5" width="9.44140625" customWidth="1"/>
    <col min="6" max="6" width="20.44140625" customWidth="1"/>
    <col min="7" max="7" width="19" customWidth="1"/>
  </cols>
  <sheetData>
    <row r="2" spans="1:7" x14ac:dyDescent="0.3">
      <c r="C2" s="2" t="s">
        <v>179</v>
      </c>
    </row>
    <row r="4" spans="1:7" x14ac:dyDescent="0.3">
      <c r="B4" s="2" t="s">
        <v>188</v>
      </c>
      <c r="C4" s="2" t="s">
        <v>9</v>
      </c>
      <c r="D4" s="2" t="s">
        <v>76</v>
      </c>
      <c r="E4" s="2" t="s">
        <v>77</v>
      </c>
      <c r="F4" s="2" t="s">
        <v>186</v>
      </c>
      <c r="G4" s="2" t="s">
        <v>189</v>
      </c>
    </row>
    <row r="5" spans="1:7" x14ac:dyDescent="0.3">
      <c r="B5" s="2" t="s">
        <v>31</v>
      </c>
      <c r="C5" s="2" t="s">
        <v>31</v>
      </c>
      <c r="D5" s="2" t="s">
        <v>31</v>
      </c>
      <c r="E5" s="2" t="s">
        <v>31</v>
      </c>
      <c r="F5" s="2" t="s">
        <v>31</v>
      </c>
      <c r="G5" s="2" t="s">
        <v>31</v>
      </c>
    </row>
    <row r="6" spans="1:7" x14ac:dyDescent="0.3">
      <c r="A6" t="s">
        <v>178</v>
      </c>
      <c r="B6">
        <f>100</f>
        <v>100</v>
      </c>
      <c r="C6">
        <f>2257.73+12973</f>
        <v>15230.73</v>
      </c>
      <c r="D6" s="5">
        <f>'C1-C4 Demo Base'!L21+'Building Material (A1-A5 B1-B7)'!G4+'HRV (A1, B1, C1)'!F8</f>
        <v>31756.221922337034</v>
      </c>
      <c r="E6" s="5">
        <f>'C1-C4 Demo Base'!L21+'Heat Pump R410A (A1, B1, C1)'!G7+'HRV (A1, B1, C1)'!G8+'Building Material (A1-A5 B1-B7)'!H4</f>
        <v>58723.31192233703</v>
      </c>
      <c r="F6">
        <f>1200</f>
        <v>1200</v>
      </c>
      <c r="G6">
        <v>20640</v>
      </c>
    </row>
    <row r="7" spans="1:7" x14ac:dyDescent="0.3">
      <c r="A7" t="s">
        <v>78</v>
      </c>
      <c r="B7">
        <f>B6+2513.43</f>
        <v>2613.4299999999998</v>
      </c>
      <c r="C7">
        <f>C6+1731.23</f>
        <v>16961.96</v>
      </c>
      <c r="D7" s="5">
        <f>D6+496.2</f>
        <v>32252.421922337035</v>
      </c>
      <c r="E7" s="5">
        <f>E6+496.2</f>
        <v>59219.511922337027</v>
      </c>
      <c r="F7">
        <f>F6+8873.03</f>
        <v>10073.030000000001</v>
      </c>
      <c r="G7">
        <f>G6+2301.46</f>
        <v>22941.46</v>
      </c>
    </row>
    <row r="8" spans="1:7" x14ac:dyDescent="0.3">
      <c r="A8" t="s">
        <v>83</v>
      </c>
      <c r="B8">
        <f t="shared" ref="B8:B71" si="0">B7+2513.43</f>
        <v>5126.8599999999997</v>
      </c>
      <c r="C8">
        <f t="shared" ref="C8:C71" si="1">C7+1731.23</f>
        <v>18693.189999999999</v>
      </c>
      <c r="D8" s="5">
        <f t="shared" ref="D8:D71" si="2">D7+496.2</f>
        <v>32748.621922337035</v>
      </c>
      <c r="E8" s="5">
        <f t="shared" ref="E8:E71" si="3">E7+496.2</f>
        <v>59715.711922337025</v>
      </c>
      <c r="F8">
        <f t="shared" ref="F8:F71" si="4">F7+8873.03</f>
        <v>18946.060000000001</v>
      </c>
      <c r="G8">
        <f t="shared" ref="G8:G71" si="5">G7+2301.46</f>
        <v>25242.92</v>
      </c>
    </row>
    <row r="9" spans="1:7" x14ac:dyDescent="0.3">
      <c r="A9" t="s">
        <v>84</v>
      </c>
      <c r="B9">
        <f t="shared" si="0"/>
        <v>7640.2899999999991</v>
      </c>
      <c r="C9">
        <f t="shared" si="1"/>
        <v>20424.419999999998</v>
      </c>
      <c r="D9" s="5">
        <f t="shared" si="2"/>
        <v>33244.821922337032</v>
      </c>
      <c r="E9" s="5">
        <f t="shared" si="3"/>
        <v>60211.911922337022</v>
      </c>
      <c r="F9">
        <f t="shared" si="4"/>
        <v>27819.090000000004</v>
      </c>
      <c r="G9">
        <f t="shared" si="5"/>
        <v>27544.379999999997</v>
      </c>
    </row>
    <row r="10" spans="1:7" x14ac:dyDescent="0.3">
      <c r="A10" t="s">
        <v>85</v>
      </c>
      <c r="B10">
        <f t="shared" si="0"/>
        <v>10153.719999999999</v>
      </c>
      <c r="C10">
        <f t="shared" si="1"/>
        <v>22155.649999999998</v>
      </c>
      <c r="D10" s="5">
        <f t="shared" si="2"/>
        <v>33741.02192233703</v>
      </c>
      <c r="E10" s="5">
        <f t="shared" si="3"/>
        <v>60708.111922337019</v>
      </c>
      <c r="F10">
        <f t="shared" si="4"/>
        <v>36692.120000000003</v>
      </c>
      <c r="G10">
        <f t="shared" si="5"/>
        <v>29845.839999999997</v>
      </c>
    </row>
    <row r="11" spans="1:7" x14ac:dyDescent="0.3">
      <c r="A11" t="s">
        <v>79</v>
      </c>
      <c r="B11">
        <f t="shared" si="0"/>
        <v>12667.15</v>
      </c>
      <c r="C11">
        <f t="shared" si="1"/>
        <v>23886.879999999997</v>
      </c>
      <c r="D11" s="5">
        <f t="shared" si="2"/>
        <v>34237.221922337027</v>
      </c>
      <c r="E11" s="5">
        <f t="shared" si="3"/>
        <v>61204.311922337016</v>
      </c>
      <c r="F11">
        <f t="shared" si="4"/>
        <v>45565.15</v>
      </c>
      <c r="G11">
        <f t="shared" si="5"/>
        <v>32147.299999999996</v>
      </c>
    </row>
    <row r="12" spans="1:7" x14ac:dyDescent="0.3">
      <c r="A12" t="s">
        <v>86</v>
      </c>
      <c r="B12">
        <f t="shared" si="0"/>
        <v>15180.58</v>
      </c>
      <c r="C12">
        <f t="shared" si="1"/>
        <v>25618.109999999997</v>
      </c>
      <c r="D12" s="5">
        <f t="shared" si="2"/>
        <v>34733.421922337024</v>
      </c>
      <c r="E12" s="5">
        <f t="shared" si="3"/>
        <v>61700.511922337013</v>
      </c>
      <c r="F12">
        <f>F11+8873.03</f>
        <v>54438.18</v>
      </c>
      <c r="G12">
        <f t="shared" si="5"/>
        <v>34448.759999999995</v>
      </c>
    </row>
    <row r="13" spans="1:7" x14ac:dyDescent="0.3">
      <c r="A13" t="s">
        <v>87</v>
      </c>
      <c r="B13">
        <f t="shared" si="0"/>
        <v>17694.009999999998</v>
      </c>
      <c r="C13">
        <f t="shared" si="1"/>
        <v>27349.339999999997</v>
      </c>
      <c r="D13" s="5">
        <f t="shared" si="2"/>
        <v>35229.621922337021</v>
      </c>
      <c r="E13" s="5">
        <f t="shared" si="3"/>
        <v>62196.71192233701</v>
      </c>
      <c r="F13">
        <f t="shared" si="4"/>
        <v>63311.21</v>
      </c>
      <c r="G13">
        <f t="shared" si="5"/>
        <v>36750.219999999994</v>
      </c>
    </row>
    <row r="14" spans="1:7" x14ac:dyDescent="0.3">
      <c r="A14" t="s">
        <v>88</v>
      </c>
      <c r="B14">
        <f t="shared" si="0"/>
        <v>20207.439999999999</v>
      </c>
      <c r="C14">
        <f t="shared" si="1"/>
        <v>29080.569999999996</v>
      </c>
      <c r="D14" s="5">
        <f t="shared" si="2"/>
        <v>35725.821922337018</v>
      </c>
      <c r="E14" s="5">
        <f t="shared" si="3"/>
        <v>62692.911922337007</v>
      </c>
      <c r="F14">
        <f t="shared" si="4"/>
        <v>72184.240000000005</v>
      </c>
      <c r="G14">
        <f t="shared" si="5"/>
        <v>39051.679999999993</v>
      </c>
    </row>
    <row r="15" spans="1:7" x14ac:dyDescent="0.3">
      <c r="A15" t="s">
        <v>89</v>
      </c>
      <c r="B15">
        <f t="shared" si="0"/>
        <v>22720.87</v>
      </c>
      <c r="C15">
        <f t="shared" si="1"/>
        <v>30811.799999999996</v>
      </c>
      <c r="D15" s="5">
        <f t="shared" si="2"/>
        <v>36222.021922337015</v>
      </c>
      <c r="E15" s="5">
        <f t="shared" si="3"/>
        <v>63189.111922337004</v>
      </c>
      <c r="F15">
        <f t="shared" si="4"/>
        <v>81057.27</v>
      </c>
      <c r="G15">
        <f t="shared" si="5"/>
        <v>41353.139999999992</v>
      </c>
    </row>
    <row r="16" spans="1:7" x14ac:dyDescent="0.3">
      <c r="A16" t="s">
        <v>80</v>
      </c>
      <c r="B16">
        <f t="shared" si="0"/>
        <v>25234.3</v>
      </c>
      <c r="C16">
        <f t="shared" si="1"/>
        <v>32543.029999999995</v>
      </c>
      <c r="D16" s="5">
        <f t="shared" si="2"/>
        <v>36718.221922337012</v>
      </c>
      <c r="E16" s="5">
        <f t="shared" si="3"/>
        <v>63685.311922337001</v>
      </c>
      <c r="F16">
        <f t="shared" si="4"/>
        <v>89930.3</v>
      </c>
      <c r="G16">
        <f t="shared" si="5"/>
        <v>43654.599999999991</v>
      </c>
    </row>
    <row r="17" spans="1:7" x14ac:dyDescent="0.3">
      <c r="A17" t="s">
        <v>90</v>
      </c>
      <c r="B17">
        <f t="shared" si="0"/>
        <v>27747.73</v>
      </c>
      <c r="C17">
        <f t="shared" si="1"/>
        <v>34274.259999999995</v>
      </c>
      <c r="D17" s="5">
        <f t="shared" si="2"/>
        <v>37214.421922337009</v>
      </c>
      <c r="E17" s="5">
        <f t="shared" si="3"/>
        <v>64181.511922336998</v>
      </c>
      <c r="F17">
        <f t="shared" si="4"/>
        <v>98803.33</v>
      </c>
      <c r="G17">
        <f t="shared" si="5"/>
        <v>45956.05999999999</v>
      </c>
    </row>
    <row r="18" spans="1:7" x14ac:dyDescent="0.3">
      <c r="A18" t="s">
        <v>91</v>
      </c>
      <c r="B18">
        <f t="shared" si="0"/>
        <v>30261.16</v>
      </c>
      <c r="C18">
        <f t="shared" si="1"/>
        <v>36005.49</v>
      </c>
      <c r="D18" s="5">
        <f t="shared" si="2"/>
        <v>37710.621922337006</v>
      </c>
      <c r="E18" s="5">
        <f t="shared" si="3"/>
        <v>64677.711922336995</v>
      </c>
      <c r="F18">
        <f t="shared" si="4"/>
        <v>107676.36</v>
      </c>
      <c r="G18">
        <f t="shared" si="5"/>
        <v>48257.51999999999</v>
      </c>
    </row>
    <row r="19" spans="1:7" x14ac:dyDescent="0.3">
      <c r="A19" t="s">
        <v>92</v>
      </c>
      <c r="B19">
        <f t="shared" si="0"/>
        <v>32774.589999999997</v>
      </c>
      <c r="C19">
        <f t="shared" si="1"/>
        <v>37736.720000000001</v>
      </c>
      <c r="D19" s="5">
        <f t="shared" si="2"/>
        <v>38206.821922337003</v>
      </c>
      <c r="E19" s="5">
        <f t="shared" si="3"/>
        <v>65173.911922336993</v>
      </c>
      <c r="F19">
        <f t="shared" si="4"/>
        <v>116549.39</v>
      </c>
      <c r="G19">
        <f t="shared" si="5"/>
        <v>50558.979999999989</v>
      </c>
    </row>
    <row r="20" spans="1:7" x14ac:dyDescent="0.3">
      <c r="A20" t="s">
        <v>93</v>
      </c>
      <c r="B20">
        <f t="shared" si="0"/>
        <v>35288.019999999997</v>
      </c>
      <c r="C20">
        <f t="shared" si="1"/>
        <v>39467.950000000004</v>
      </c>
      <c r="D20" s="5">
        <f t="shared" si="2"/>
        <v>38703.021922337</v>
      </c>
      <c r="E20" s="5">
        <f t="shared" si="3"/>
        <v>65670.11192233699</v>
      </c>
      <c r="F20">
        <f t="shared" si="4"/>
        <v>125422.42</v>
      </c>
      <c r="G20">
        <f t="shared" si="5"/>
        <v>52860.439999999988</v>
      </c>
    </row>
    <row r="21" spans="1:7" x14ac:dyDescent="0.3">
      <c r="A21" t="s">
        <v>81</v>
      </c>
      <c r="B21">
        <f t="shared" si="0"/>
        <v>37801.449999999997</v>
      </c>
      <c r="C21">
        <f t="shared" si="1"/>
        <v>41199.180000000008</v>
      </c>
      <c r="D21" s="5">
        <f t="shared" si="2"/>
        <v>39199.221922336998</v>
      </c>
      <c r="E21" s="5">
        <f t="shared" si="3"/>
        <v>66166.311922336987</v>
      </c>
      <c r="F21">
        <f t="shared" si="4"/>
        <v>134295.45000000001</v>
      </c>
      <c r="G21">
        <f t="shared" si="5"/>
        <v>55161.899999999987</v>
      </c>
    </row>
    <row r="22" spans="1:7" x14ac:dyDescent="0.3">
      <c r="A22" t="s">
        <v>94</v>
      </c>
      <c r="B22">
        <f t="shared" si="0"/>
        <v>40314.879999999997</v>
      </c>
      <c r="C22">
        <f t="shared" si="1"/>
        <v>42930.410000000011</v>
      </c>
      <c r="D22" s="5">
        <f t="shared" si="2"/>
        <v>39695.421922336995</v>
      </c>
      <c r="E22" s="5">
        <f t="shared" si="3"/>
        <v>66662.511922336984</v>
      </c>
      <c r="F22">
        <f t="shared" si="4"/>
        <v>143168.48000000001</v>
      </c>
      <c r="G22">
        <f t="shared" si="5"/>
        <v>57463.359999999986</v>
      </c>
    </row>
    <row r="23" spans="1:7" x14ac:dyDescent="0.3">
      <c r="A23" t="s">
        <v>95</v>
      </c>
      <c r="B23">
        <f t="shared" si="0"/>
        <v>42828.31</v>
      </c>
      <c r="C23">
        <f t="shared" si="1"/>
        <v>44661.640000000014</v>
      </c>
      <c r="D23" s="5">
        <f t="shared" si="2"/>
        <v>40191.621922336992</v>
      </c>
      <c r="E23" s="5">
        <f t="shared" si="3"/>
        <v>67158.711922336981</v>
      </c>
      <c r="F23">
        <f t="shared" si="4"/>
        <v>152041.51</v>
      </c>
      <c r="G23">
        <f t="shared" si="5"/>
        <v>59764.819999999985</v>
      </c>
    </row>
    <row r="24" spans="1:7" x14ac:dyDescent="0.3">
      <c r="A24" t="s">
        <v>96</v>
      </c>
      <c r="B24">
        <f t="shared" si="0"/>
        <v>45341.74</v>
      </c>
      <c r="C24">
        <f t="shared" si="1"/>
        <v>46392.870000000017</v>
      </c>
      <c r="D24" s="5">
        <f t="shared" si="2"/>
        <v>40687.821922336989</v>
      </c>
      <c r="E24" s="5">
        <f t="shared" si="3"/>
        <v>67654.911922336978</v>
      </c>
      <c r="F24">
        <f t="shared" si="4"/>
        <v>160914.54</v>
      </c>
      <c r="G24">
        <f t="shared" si="5"/>
        <v>62066.279999999984</v>
      </c>
    </row>
    <row r="25" spans="1:7" x14ac:dyDescent="0.3">
      <c r="A25" t="s">
        <v>97</v>
      </c>
      <c r="B25">
        <f t="shared" si="0"/>
        <v>47855.17</v>
      </c>
      <c r="C25">
        <f t="shared" si="1"/>
        <v>48124.10000000002</v>
      </c>
      <c r="D25" s="5">
        <f t="shared" si="2"/>
        <v>41184.021922336986</v>
      </c>
      <c r="E25" s="5">
        <f t="shared" si="3"/>
        <v>68151.111922336975</v>
      </c>
      <c r="F25">
        <f t="shared" si="4"/>
        <v>169787.57</v>
      </c>
      <c r="G25">
        <f t="shared" si="5"/>
        <v>64367.739999999983</v>
      </c>
    </row>
    <row r="26" spans="1:7" x14ac:dyDescent="0.3">
      <c r="A26" t="s">
        <v>82</v>
      </c>
      <c r="B26">
        <f t="shared" si="0"/>
        <v>50368.6</v>
      </c>
      <c r="C26">
        <f t="shared" si="1"/>
        <v>49855.330000000024</v>
      </c>
      <c r="D26" s="5">
        <f t="shared" si="2"/>
        <v>41680.221922336983</v>
      </c>
      <c r="E26" s="5">
        <f t="shared" si="3"/>
        <v>68647.311922336972</v>
      </c>
      <c r="F26">
        <f t="shared" si="4"/>
        <v>178660.6</v>
      </c>
      <c r="G26">
        <f t="shared" si="5"/>
        <v>66669.199999999983</v>
      </c>
    </row>
    <row r="27" spans="1:7" x14ac:dyDescent="0.3">
      <c r="A27" t="s">
        <v>98</v>
      </c>
      <c r="B27">
        <f t="shared" si="0"/>
        <v>52882.03</v>
      </c>
      <c r="C27">
        <f t="shared" si="1"/>
        <v>51586.560000000027</v>
      </c>
      <c r="D27" s="5">
        <f t="shared" si="2"/>
        <v>42176.42192233698</v>
      </c>
      <c r="E27" s="5">
        <f t="shared" si="3"/>
        <v>69143.511922336969</v>
      </c>
      <c r="F27">
        <f t="shared" si="4"/>
        <v>187533.63</v>
      </c>
      <c r="G27">
        <f t="shared" si="5"/>
        <v>68970.659999999989</v>
      </c>
    </row>
    <row r="28" spans="1:7" x14ac:dyDescent="0.3">
      <c r="A28" t="s">
        <v>99</v>
      </c>
      <c r="B28">
        <f t="shared" si="0"/>
        <v>55395.46</v>
      </c>
      <c r="C28">
        <f t="shared" si="1"/>
        <v>53317.79000000003</v>
      </c>
      <c r="D28" s="5">
        <f t="shared" si="2"/>
        <v>42672.621922336977</v>
      </c>
      <c r="E28" s="5">
        <f t="shared" si="3"/>
        <v>69639.711922336966</v>
      </c>
      <c r="F28">
        <f t="shared" si="4"/>
        <v>196406.66</v>
      </c>
      <c r="G28">
        <f t="shared" si="5"/>
        <v>71272.12</v>
      </c>
    </row>
    <row r="29" spans="1:7" x14ac:dyDescent="0.3">
      <c r="A29" t="s">
        <v>100</v>
      </c>
      <c r="B29">
        <f t="shared" si="0"/>
        <v>57908.89</v>
      </c>
      <c r="C29">
        <f t="shared" si="1"/>
        <v>55049.020000000033</v>
      </c>
      <c r="D29" s="5">
        <f t="shared" si="2"/>
        <v>43168.821922336974</v>
      </c>
      <c r="E29" s="5">
        <f t="shared" si="3"/>
        <v>70135.911922336963</v>
      </c>
      <c r="F29">
        <f t="shared" si="4"/>
        <v>205279.69</v>
      </c>
      <c r="G29">
        <f t="shared" si="5"/>
        <v>73573.58</v>
      </c>
    </row>
    <row r="30" spans="1:7" x14ac:dyDescent="0.3">
      <c r="A30" t="s">
        <v>101</v>
      </c>
      <c r="B30">
        <f t="shared" si="0"/>
        <v>60422.32</v>
      </c>
      <c r="C30">
        <f t="shared" si="1"/>
        <v>56780.250000000036</v>
      </c>
      <c r="D30" s="5">
        <f t="shared" si="2"/>
        <v>43665.021922336971</v>
      </c>
      <c r="E30" s="5">
        <f t="shared" si="3"/>
        <v>70632.111922336961</v>
      </c>
      <c r="F30">
        <f t="shared" si="4"/>
        <v>214152.72</v>
      </c>
      <c r="G30">
        <f t="shared" si="5"/>
        <v>75875.040000000008</v>
      </c>
    </row>
    <row r="31" spans="1:7" x14ac:dyDescent="0.3">
      <c r="A31" t="s">
        <v>102</v>
      </c>
      <c r="B31">
        <f t="shared" si="0"/>
        <v>62935.75</v>
      </c>
      <c r="C31">
        <f>C30+1731.23+12973</f>
        <v>71484.48000000004</v>
      </c>
      <c r="D31" s="5">
        <f>D30+496.2+3505</f>
        <v>47666.221922336968</v>
      </c>
      <c r="E31" s="5">
        <f>E30+496.2+3505</f>
        <v>74633.311922336958</v>
      </c>
      <c r="F31">
        <f>F30+8873.03+1200</f>
        <v>224225.75</v>
      </c>
      <c r="G31">
        <f>G30+2301.46+20640</f>
        <v>98816.500000000015</v>
      </c>
    </row>
    <row r="32" spans="1:7" x14ac:dyDescent="0.3">
      <c r="A32" t="s">
        <v>103</v>
      </c>
      <c r="B32">
        <f t="shared" si="0"/>
        <v>65449.18</v>
      </c>
      <c r="C32">
        <f t="shared" si="1"/>
        <v>73215.710000000036</v>
      </c>
      <c r="D32" s="5">
        <f t="shared" si="2"/>
        <v>48162.421922336966</v>
      </c>
      <c r="E32" s="5">
        <f t="shared" si="3"/>
        <v>75129.511922336955</v>
      </c>
      <c r="F32">
        <f t="shared" si="4"/>
        <v>233098.78</v>
      </c>
      <c r="G32">
        <f t="shared" si="5"/>
        <v>101117.96000000002</v>
      </c>
    </row>
    <row r="33" spans="1:7" x14ac:dyDescent="0.3">
      <c r="A33" t="s">
        <v>104</v>
      </c>
      <c r="B33">
        <f t="shared" si="0"/>
        <v>67962.61</v>
      </c>
      <c r="C33">
        <f t="shared" si="1"/>
        <v>74946.940000000031</v>
      </c>
      <c r="D33" s="5">
        <f t="shared" si="2"/>
        <v>48658.621922336963</v>
      </c>
      <c r="E33" s="5">
        <f t="shared" si="3"/>
        <v>75625.711922336952</v>
      </c>
      <c r="F33">
        <f t="shared" si="4"/>
        <v>241971.81</v>
      </c>
      <c r="G33">
        <f t="shared" si="5"/>
        <v>103419.42000000003</v>
      </c>
    </row>
    <row r="34" spans="1:7" x14ac:dyDescent="0.3">
      <c r="A34" t="s">
        <v>105</v>
      </c>
      <c r="B34">
        <f t="shared" si="0"/>
        <v>70476.039999999994</v>
      </c>
      <c r="C34">
        <f t="shared" si="1"/>
        <v>76678.170000000027</v>
      </c>
      <c r="D34" s="5">
        <f t="shared" si="2"/>
        <v>49154.82192233696</v>
      </c>
      <c r="E34" s="5">
        <f t="shared" si="3"/>
        <v>76121.911922336949</v>
      </c>
      <c r="F34">
        <f t="shared" si="4"/>
        <v>250844.84</v>
      </c>
      <c r="G34">
        <f t="shared" si="5"/>
        <v>105720.88000000003</v>
      </c>
    </row>
    <row r="35" spans="1:7" x14ac:dyDescent="0.3">
      <c r="A35" t="s">
        <v>106</v>
      </c>
      <c r="B35">
        <f t="shared" si="0"/>
        <v>72989.469999999987</v>
      </c>
      <c r="C35">
        <f t="shared" si="1"/>
        <v>78409.400000000023</v>
      </c>
      <c r="D35" s="5">
        <f t="shared" si="2"/>
        <v>49651.021922336957</v>
      </c>
      <c r="E35" s="5">
        <f t="shared" si="3"/>
        <v>76618.111922336946</v>
      </c>
      <c r="F35">
        <f t="shared" si="4"/>
        <v>259717.87</v>
      </c>
      <c r="G35">
        <f t="shared" si="5"/>
        <v>108022.34000000004</v>
      </c>
    </row>
    <row r="36" spans="1:7" x14ac:dyDescent="0.3">
      <c r="A36" t="s">
        <v>107</v>
      </c>
      <c r="B36">
        <f t="shared" si="0"/>
        <v>75502.89999999998</v>
      </c>
      <c r="C36">
        <f t="shared" si="1"/>
        <v>80140.630000000019</v>
      </c>
      <c r="D36" s="5">
        <f t="shared" si="2"/>
        <v>50147.221922336954</v>
      </c>
      <c r="E36" s="5">
        <f t="shared" si="3"/>
        <v>77114.311922336943</v>
      </c>
      <c r="F36">
        <f t="shared" si="4"/>
        <v>268590.90000000002</v>
      </c>
      <c r="G36">
        <f t="shared" si="5"/>
        <v>110323.80000000005</v>
      </c>
    </row>
    <row r="37" spans="1:7" x14ac:dyDescent="0.3">
      <c r="A37" t="s">
        <v>108</v>
      </c>
      <c r="B37">
        <f t="shared" si="0"/>
        <v>78016.329999999973</v>
      </c>
      <c r="C37">
        <f t="shared" si="1"/>
        <v>81871.860000000015</v>
      </c>
      <c r="D37" s="5">
        <f t="shared" si="2"/>
        <v>50643.421922336951</v>
      </c>
      <c r="E37" s="5">
        <f t="shared" si="3"/>
        <v>77610.51192233694</v>
      </c>
      <c r="F37">
        <f t="shared" si="4"/>
        <v>277463.93000000005</v>
      </c>
      <c r="G37">
        <f t="shared" si="5"/>
        <v>112625.26000000005</v>
      </c>
    </row>
    <row r="38" spans="1:7" x14ac:dyDescent="0.3">
      <c r="A38" t="s">
        <v>109</v>
      </c>
      <c r="B38">
        <f t="shared" si="0"/>
        <v>80529.759999999966</v>
      </c>
      <c r="C38">
        <f t="shared" si="1"/>
        <v>83603.090000000011</v>
      </c>
      <c r="D38" s="5">
        <f t="shared" si="2"/>
        <v>51139.621922336948</v>
      </c>
      <c r="E38" s="5">
        <f t="shared" si="3"/>
        <v>78106.711922336937</v>
      </c>
      <c r="F38">
        <f t="shared" si="4"/>
        <v>286336.96000000008</v>
      </c>
      <c r="G38">
        <f t="shared" si="5"/>
        <v>114926.72000000006</v>
      </c>
    </row>
    <row r="39" spans="1:7" x14ac:dyDescent="0.3">
      <c r="A39" t="s">
        <v>110</v>
      </c>
      <c r="B39">
        <f t="shared" si="0"/>
        <v>83043.189999999959</v>
      </c>
      <c r="C39">
        <f t="shared" si="1"/>
        <v>85334.32</v>
      </c>
      <c r="D39" s="5">
        <f t="shared" si="2"/>
        <v>51635.821922336945</v>
      </c>
      <c r="E39" s="5">
        <f t="shared" si="3"/>
        <v>78602.911922336934</v>
      </c>
      <c r="F39">
        <f t="shared" si="4"/>
        <v>295209.99000000011</v>
      </c>
      <c r="G39">
        <f t="shared" si="5"/>
        <v>117228.18000000007</v>
      </c>
    </row>
    <row r="40" spans="1:7" x14ac:dyDescent="0.3">
      <c r="A40" t="s">
        <v>111</v>
      </c>
      <c r="B40">
        <f t="shared" si="0"/>
        <v>85556.619999999952</v>
      </c>
      <c r="C40">
        <f t="shared" si="1"/>
        <v>87065.55</v>
      </c>
      <c r="D40" s="5">
        <f t="shared" si="2"/>
        <v>52132.021922336942</v>
      </c>
      <c r="E40" s="5">
        <f t="shared" si="3"/>
        <v>79099.111922336931</v>
      </c>
      <c r="F40">
        <f t="shared" si="4"/>
        <v>304083.02000000014</v>
      </c>
      <c r="G40">
        <f t="shared" si="5"/>
        <v>119529.64000000007</v>
      </c>
    </row>
    <row r="41" spans="1:7" x14ac:dyDescent="0.3">
      <c r="A41" t="s">
        <v>112</v>
      </c>
      <c r="B41">
        <f t="shared" si="0"/>
        <v>88070.049999999945</v>
      </c>
      <c r="C41">
        <f t="shared" si="1"/>
        <v>88796.78</v>
      </c>
      <c r="D41" s="5">
        <f t="shared" si="2"/>
        <v>52628.221922336939</v>
      </c>
      <c r="E41" s="5">
        <f t="shared" si="3"/>
        <v>79595.311922336929</v>
      </c>
      <c r="F41">
        <f t="shared" si="4"/>
        <v>312956.05000000016</v>
      </c>
      <c r="G41">
        <f t="shared" si="5"/>
        <v>121831.10000000008</v>
      </c>
    </row>
    <row r="42" spans="1:7" x14ac:dyDescent="0.3">
      <c r="A42" t="s">
        <v>113</v>
      </c>
      <c r="B42">
        <f t="shared" si="0"/>
        <v>90583.479999999938</v>
      </c>
      <c r="C42">
        <f t="shared" si="1"/>
        <v>90528.01</v>
      </c>
      <c r="D42" s="5">
        <f t="shared" si="2"/>
        <v>53124.421922336936</v>
      </c>
      <c r="E42" s="5">
        <f t="shared" si="3"/>
        <v>80091.511922336926</v>
      </c>
      <c r="F42">
        <f t="shared" si="4"/>
        <v>321829.08000000019</v>
      </c>
      <c r="G42">
        <f t="shared" si="5"/>
        <v>124132.56000000008</v>
      </c>
    </row>
    <row r="43" spans="1:7" x14ac:dyDescent="0.3">
      <c r="A43" t="s">
        <v>114</v>
      </c>
      <c r="B43">
        <f t="shared" si="0"/>
        <v>93096.909999999931</v>
      </c>
      <c r="C43">
        <f t="shared" si="1"/>
        <v>92259.239999999991</v>
      </c>
      <c r="D43" s="5">
        <f t="shared" si="2"/>
        <v>53620.621922336933</v>
      </c>
      <c r="E43" s="5">
        <f t="shared" si="3"/>
        <v>80587.711922336923</v>
      </c>
      <c r="F43">
        <f t="shared" si="4"/>
        <v>330702.11000000022</v>
      </c>
      <c r="G43">
        <f t="shared" si="5"/>
        <v>126434.02000000009</v>
      </c>
    </row>
    <row r="44" spans="1:7" x14ac:dyDescent="0.3">
      <c r="A44" t="s">
        <v>115</v>
      </c>
      <c r="B44">
        <f t="shared" si="0"/>
        <v>95610.339999999924</v>
      </c>
      <c r="C44">
        <f t="shared" si="1"/>
        <v>93990.469999999987</v>
      </c>
      <c r="D44" s="5">
        <f t="shared" si="2"/>
        <v>54116.821922336931</v>
      </c>
      <c r="E44" s="5">
        <f t="shared" si="3"/>
        <v>81083.91192233692</v>
      </c>
      <c r="F44">
        <f t="shared" si="4"/>
        <v>339575.14000000025</v>
      </c>
      <c r="G44">
        <f t="shared" si="5"/>
        <v>128735.4800000001</v>
      </c>
    </row>
    <row r="45" spans="1:7" x14ac:dyDescent="0.3">
      <c r="A45" t="s">
        <v>116</v>
      </c>
      <c r="B45">
        <f t="shared" si="0"/>
        <v>98123.769999999917</v>
      </c>
      <c r="C45">
        <f t="shared" si="1"/>
        <v>95721.699999999983</v>
      </c>
      <c r="D45" s="5">
        <f t="shared" si="2"/>
        <v>54613.021922336928</v>
      </c>
      <c r="E45" s="5">
        <f t="shared" si="3"/>
        <v>81580.111922336917</v>
      </c>
      <c r="F45">
        <f t="shared" si="4"/>
        <v>348448.17000000027</v>
      </c>
      <c r="G45">
        <f t="shared" si="5"/>
        <v>131036.9400000001</v>
      </c>
    </row>
    <row r="46" spans="1:7" x14ac:dyDescent="0.3">
      <c r="A46" t="s">
        <v>117</v>
      </c>
      <c r="B46">
        <f t="shared" si="0"/>
        <v>100637.19999999991</v>
      </c>
      <c r="C46">
        <f t="shared" si="1"/>
        <v>97452.929999999978</v>
      </c>
      <c r="D46" s="5">
        <f t="shared" si="2"/>
        <v>55109.221922336925</v>
      </c>
      <c r="E46" s="5">
        <f t="shared" si="3"/>
        <v>82076.311922336914</v>
      </c>
      <c r="F46">
        <f t="shared" si="4"/>
        <v>357321.2000000003</v>
      </c>
      <c r="G46">
        <f t="shared" si="5"/>
        <v>133338.40000000011</v>
      </c>
    </row>
    <row r="47" spans="1:7" x14ac:dyDescent="0.3">
      <c r="A47" t="s">
        <v>118</v>
      </c>
      <c r="B47">
        <f t="shared" si="0"/>
        <v>103150.6299999999</v>
      </c>
      <c r="C47">
        <f t="shared" si="1"/>
        <v>99184.159999999974</v>
      </c>
      <c r="D47" s="5">
        <f t="shared" si="2"/>
        <v>55605.421922336922</v>
      </c>
      <c r="E47" s="5">
        <f t="shared" si="3"/>
        <v>82572.511922336911</v>
      </c>
      <c r="F47">
        <f t="shared" si="4"/>
        <v>366194.23000000033</v>
      </c>
      <c r="G47">
        <f t="shared" si="5"/>
        <v>135639.8600000001</v>
      </c>
    </row>
    <row r="48" spans="1:7" x14ac:dyDescent="0.3">
      <c r="A48" t="s">
        <v>119</v>
      </c>
      <c r="B48">
        <f t="shared" si="0"/>
        <v>105664.0599999999</v>
      </c>
      <c r="C48">
        <f t="shared" si="1"/>
        <v>100915.38999999997</v>
      </c>
      <c r="D48" s="5">
        <f t="shared" si="2"/>
        <v>56101.621922336919</v>
      </c>
      <c r="E48" s="5">
        <f t="shared" si="3"/>
        <v>83068.711922336908</v>
      </c>
      <c r="F48">
        <f t="shared" si="4"/>
        <v>375067.26000000036</v>
      </c>
      <c r="G48">
        <f t="shared" si="5"/>
        <v>137941.32000000009</v>
      </c>
    </row>
    <row r="49" spans="1:7" x14ac:dyDescent="0.3">
      <c r="A49" t="s">
        <v>120</v>
      </c>
      <c r="B49">
        <f t="shared" si="0"/>
        <v>108177.48999999989</v>
      </c>
      <c r="C49">
        <f t="shared" si="1"/>
        <v>102646.61999999997</v>
      </c>
      <c r="D49" s="5">
        <f t="shared" si="2"/>
        <v>56597.821922336916</v>
      </c>
      <c r="E49" s="5">
        <f t="shared" si="3"/>
        <v>83564.911922336905</v>
      </c>
      <c r="F49">
        <f t="shared" si="4"/>
        <v>383940.29000000039</v>
      </c>
      <c r="G49">
        <f t="shared" si="5"/>
        <v>140242.78000000009</v>
      </c>
    </row>
    <row r="50" spans="1:7" x14ac:dyDescent="0.3">
      <c r="A50" t="s">
        <v>121</v>
      </c>
      <c r="B50">
        <f t="shared" si="0"/>
        <v>110690.91999999988</v>
      </c>
      <c r="C50">
        <f t="shared" si="1"/>
        <v>104377.84999999996</v>
      </c>
      <c r="D50" s="5">
        <f t="shared" si="2"/>
        <v>57094.021922336913</v>
      </c>
      <c r="E50" s="5">
        <f t="shared" si="3"/>
        <v>84061.111922336902</v>
      </c>
      <c r="F50">
        <f t="shared" si="4"/>
        <v>392813.32000000041</v>
      </c>
      <c r="G50">
        <f t="shared" si="5"/>
        <v>142544.24000000008</v>
      </c>
    </row>
    <row r="51" spans="1:7" x14ac:dyDescent="0.3">
      <c r="A51" t="s">
        <v>122</v>
      </c>
      <c r="B51">
        <f t="shared" si="0"/>
        <v>113204.34999999987</v>
      </c>
      <c r="C51">
        <f t="shared" si="1"/>
        <v>106109.07999999996</v>
      </c>
      <c r="D51" s="5">
        <f t="shared" si="2"/>
        <v>57590.22192233691</v>
      </c>
      <c r="E51" s="5">
        <f t="shared" si="3"/>
        <v>84557.311922336899</v>
      </c>
      <c r="F51">
        <f t="shared" si="4"/>
        <v>401686.35000000044</v>
      </c>
      <c r="G51">
        <f t="shared" si="5"/>
        <v>144845.70000000007</v>
      </c>
    </row>
    <row r="52" spans="1:7" x14ac:dyDescent="0.3">
      <c r="A52" t="s">
        <v>123</v>
      </c>
      <c r="B52">
        <f t="shared" si="0"/>
        <v>115717.77999999987</v>
      </c>
      <c r="C52">
        <f t="shared" si="1"/>
        <v>107840.30999999995</v>
      </c>
      <c r="D52" s="5">
        <f t="shared" si="2"/>
        <v>58086.421922336907</v>
      </c>
      <c r="E52" s="5">
        <f t="shared" si="3"/>
        <v>85053.511922336897</v>
      </c>
      <c r="F52">
        <f t="shared" si="4"/>
        <v>410559.38000000047</v>
      </c>
      <c r="G52">
        <f t="shared" si="5"/>
        <v>147147.16000000006</v>
      </c>
    </row>
    <row r="53" spans="1:7" x14ac:dyDescent="0.3">
      <c r="A53" t="s">
        <v>124</v>
      </c>
      <c r="B53">
        <f t="shared" si="0"/>
        <v>118231.20999999986</v>
      </c>
      <c r="C53">
        <f t="shared" si="1"/>
        <v>109571.53999999995</v>
      </c>
      <c r="D53" s="5">
        <f t="shared" si="2"/>
        <v>58582.621922336904</v>
      </c>
      <c r="E53" s="5">
        <f t="shared" si="3"/>
        <v>85549.711922336894</v>
      </c>
      <c r="F53">
        <f t="shared" si="4"/>
        <v>419432.4100000005</v>
      </c>
      <c r="G53">
        <f t="shared" si="5"/>
        <v>149448.62000000005</v>
      </c>
    </row>
    <row r="54" spans="1:7" x14ac:dyDescent="0.3">
      <c r="A54" t="s">
        <v>125</v>
      </c>
      <c r="B54">
        <f t="shared" si="0"/>
        <v>120744.63999999985</v>
      </c>
      <c r="C54">
        <f t="shared" si="1"/>
        <v>111302.76999999995</v>
      </c>
      <c r="D54" s="5">
        <f t="shared" si="2"/>
        <v>59078.821922336901</v>
      </c>
      <c r="E54" s="5">
        <f t="shared" si="3"/>
        <v>86045.911922336891</v>
      </c>
      <c r="F54">
        <f t="shared" si="4"/>
        <v>428305.44000000053</v>
      </c>
      <c r="G54">
        <f t="shared" si="5"/>
        <v>151750.08000000005</v>
      </c>
    </row>
    <row r="55" spans="1:7" x14ac:dyDescent="0.3">
      <c r="A55" t="s">
        <v>126</v>
      </c>
      <c r="B55">
        <f t="shared" si="0"/>
        <v>123258.06999999985</v>
      </c>
      <c r="C55">
        <f t="shared" si="1"/>
        <v>113033.99999999994</v>
      </c>
      <c r="D55" s="5">
        <f t="shared" si="2"/>
        <v>59575.021922336899</v>
      </c>
      <c r="E55" s="5">
        <f t="shared" si="3"/>
        <v>86542.111922336888</v>
      </c>
      <c r="F55">
        <f t="shared" si="4"/>
        <v>437178.47000000055</v>
      </c>
      <c r="G55">
        <f t="shared" si="5"/>
        <v>154051.54000000004</v>
      </c>
    </row>
    <row r="56" spans="1:7" x14ac:dyDescent="0.3">
      <c r="A56" t="s">
        <v>127</v>
      </c>
      <c r="B56">
        <f t="shared" si="0"/>
        <v>125771.49999999984</v>
      </c>
      <c r="C56">
        <f>C55+1731.23+12973</f>
        <v>127738.22999999994</v>
      </c>
      <c r="D56" s="5">
        <f>D55+496.2+3505</f>
        <v>63576.221922336896</v>
      </c>
      <c r="E56" s="5">
        <f>E55+496.2+3505</f>
        <v>90543.311922336885</v>
      </c>
      <c r="F56">
        <f>F55+8873.03+1200</f>
        <v>447251.50000000058</v>
      </c>
      <c r="G56">
        <f>G55+2301.46+20640</f>
        <v>176993.00000000003</v>
      </c>
    </row>
    <row r="57" spans="1:7" x14ac:dyDescent="0.3">
      <c r="A57" t="s">
        <v>128</v>
      </c>
      <c r="B57">
        <f t="shared" si="0"/>
        <v>128284.92999999983</v>
      </c>
      <c r="C57">
        <f t="shared" si="1"/>
        <v>129469.45999999993</v>
      </c>
      <c r="D57" s="5">
        <f t="shared" si="2"/>
        <v>64072.421922336893</v>
      </c>
      <c r="E57" s="5">
        <f t="shared" si="3"/>
        <v>91039.511922336882</v>
      </c>
      <c r="F57">
        <f t="shared" si="4"/>
        <v>456124.53000000061</v>
      </c>
      <c r="G57">
        <f t="shared" si="5"/>
        <v>179294.46000000002</v>
      </c>
    </row>
    <row r="58" spans="1:7" x14ac:dyDescent="0.3">
      <c r="A58" t="s">
        <v>129</v>
      </c>
      <c r="B58">
        <f t="shared" si="0"/>
        <v>130798.35999999983</v>
      </c>
      <c r="C58">
        <f t="shared" si="1"/>
        <v>131200.68999999994</v>
      </c>
      <c r="D58" s="5">
        <f t="shared" si="2"/>
        <v>64568.62192233689</v>
      </c>
      <c r="E58" s="5">
        <f t="shared" si="3"/>
        <v>91535.711922336879</v>
      </c>
      <c r="F58">
        <f t="shared" si="4"/>
        <v>464997.56000000064</v>
      </c>
      <c r="G58">
        <f t="shared" si="5"/>
        <v>181595.92</v>
      </c>
    </row>
    <row r="59" spans="1:7" x14ac:dyDescent="0.3">
      <c r="A59" t="s">
        <v>130</v>
      </c>
      <c r="B59">
        <f t="shared" si="0"/>
        <v>133311.78999999983</v>
      </c>
      <c r="C59">
        <f t="shared" si="1"/>
        <v>132931.91999999995</v>
      </c>
      <c r="D59" s="5">
        <f t="shared" si="2"/>
        <v>65064.821922336887</v>
      </c>
      <c r="E59" s="5">
        <f t="shared" si="3"/>
        <v>92031.911922336876</v>
      </c>
      <c r="F59">
        <f t="shared" si="4"/>
        <v>473870.59000000067</v>
      </c>
      <c r="G59">
        <f t="shared" si="5"/>
        <v>183897.38</v>
      </c>
    </row>
    <row r="60" spans="1:7" x14ac:dyDescent="0.3">
      <c r="A60" t="s">
        <v>131</v>
      </c>
      <c r="B60">
        <f t="shared" si="0"/>
        <v>135825.21999999983</v>
      </c>
      <c r="C60">
        <f t="shared" si="1"/>
        <v>134663.14999999997</v>
      </c>
      <c r="D60" s="5">
        <f t="shared" si="2"/>
        <v>65561.021922336891</v>
      </c>
      <c r="E60" s="5">
        <f t="shared" si="3"/>
        <v>92528.111922336873</v>
      </c>
      <c r="F60">
        <f t="shared" si="4"/>
        <v>482743.62000000069</v>
      </c>
      <c r="G60">
        <f t="shared" si="5"/>
        <v>186198.84</v>
      </c>
    </row>
    <row r="61" spans="1:7" x14ac:dyDescent="0.3">
      <c r="A61" t="s">
        <v>132</v>
      </c>
      <c r="B61">
        <f t="shared" si="0"/>
        <v>138338.64999999982</v>
      </c>
      <c r="C61">
        <f t="shared" si="1"/>
        <v>136394.37999999998</v>
      </c>
      <c r="D61" s="5">
        <f t="shared" si="2"/>
        <v>66057.221922336888</v>
      </c>
      <c r="E61" s="5">
        <f t="shared" si="3"/>
        <v>93024.31192233687</v>
      </c>
      <c r="F61">
        <f t="shared" si="4"/>
        <v>491616.65000000072</v>
      </c>
      <c r="G61">
        <f t="shared" si="5"/>
        <v>188500.3</v>
      </c>
    </row>
    <row r="62" spans="1:7" x14ac:dyDescent="0.3">
      <c r="A62" t="s">
        <v>133</v>
      </c>
      <c r="B62">
        <f t="shared" si="0"/>
        <v>140852.07999999981</v>
      </c>
      <c r="C62">
        <f t="shared" si="1"/>
        <v>138125.60999999999</v>
      </c>
      <c r="D62" s="5">
        <f t="shared" si="2"/>
        <v>66553.421922336885</v>
      </c>
      <c r="E62" s="5">
        <f t="shared" si="3"/>
        <v>93520.511922336867</v>
      </c>
      <c r="F62">
        <f t="shared" si="4"/>
        <v>500489.68000000075</v>
      </c>
      <c r="G62">
        <f t="shared" si="5"/>
        <v>190801.75999999998</v>
      </c>
    </row>
    <row r="63" spans="1:7" x14ac:dyDescent="0.3">
      <c r="A63" t="s">
        <v>134</v>
      </c>
      <c r="B63">
        <f t="shared" si="0"/>
        <v>143365.50999999981</v>
      </c>
      <c r="C63">
        <f t="shared" si="1"/>
        <v>139856.84</v>
      </c>
      <c r="D63" s="5">
        <f t="shared" si="2"/>
        <v>67049.621922336883</v>
      </c>
      <c r="E63" s="5">
        <f t="shared" si="3"/>
        <v>94016.711922336865</v>
      </c>
      <c r="F63">
        <f t="shared" si="4"/>
        <v>509362.71000000078</v>
      </c>
      <c r="G63">
        <f t="shared" si="5"/>
        <v>193103.21999999997</v>
      </c>
    </row>
    <row r="64" spans="1:7" x14ac:dyDescent="0.3">
      <c r="A64" t="s">
        <v>135</v>
      </c>
      <c r="B64">
        <f t="shared" si="0"/>
        <v>145878.9399999998</v>
      </c>
      <c r="C64">
        <f t="shared" si="1"/>
        <v>141588.07</v>
      </c>
      <c r="D64" s="5">
        <f t="shared" si="2"/>
        <v>67545.82192233688</v>
      </c>
      <c r="E64" s="5">
        <f t="shared" si="3"/>
        <v>94512.911922336862</v>
      </c>
      <c r="F64">
        <f t="shared" si="4"/>
        <v>518235.74000000081</v>
      </c>
      <c r="G64">
        <f t="shared" si="5"/>
        <v>195404.67999999996</v>
      </c>
    </row>
    <row r="65" spans="1:7" x14ac:dyDescent="0.3">
      <c r="A65" t="s">
        <v>136</v>
      </c>
      <c r="B65">
        <f t="shared" si="0"/>
        <v>148392.36999999979</v>
      </c>
      <c r="C65">
        <f t="shared" si="1"/>
        <v>143319.30000000002</v>
      </c>
      <c r="D65" s="5">
        <f t="shared" si="2"/>
        <v>68042.021922336877</v>
      </c>
      <c r="E65" s="5">
        <f t="shared" si="3"/>
        <v>95009.111922336859</v>
      </c>
      <c r="F65">
        <f t="shared" si="4"/>
        <v>527108.77000000083</v>
      </c>
      <c r="G65">
        <f t="shared" si="5"/>
        <v>197706.13999999996</v>
      </c>
    </row>
    <row r="66" spans="1:7" x14ac:dyDescent="0.3">
      <c r="A66" t="s">
        <v>137</v>
      </c>
      <c r="B66">
        <f t="shared" si="0"/>
        <v>150905.79999999978</v>
      </c>
      <c r="C66">
        <f t="shared" si="1"/>
        <v>145050.53000000003</v>
      </c>
      <c r="D66" s="5">
        <f t="shared" si="2"/>
        <v>68538.221922336874</v>
      </c>
      <c r="E66" s="5">
        <f t="shared" si="3"/>
        <v>95505.311922336856</v>
      </c>
      <c r="F66">
        <f t="shared" si="4"/>
        <v>535981.80000000086</v>
      </c>
      <c r="G66">
        <f t="shared" si="5"/>
        <v>200007.59999999995</v>
      </c>
    </row>
    <row r="67" spans="1:7" x14ac:dyDescent="0.3">
      <c r="A67" t="s">
        <v>138</v>
      </c>
      <c r="B67">
        <f t="shared" si="0"/>
        <v>153419.22999999978</v>
      </c>
      <c r="C67">
        <f t="shared" si="1"/>
        <v>146781.76000000004</v>
      </c>
      <c r="D67" s="5">
        <f t="shared" si="2"/>
        <v>69034.421922336871</v>
      </c>
      <c r="E67" s="5">
        <f t="shared" si="3"/>
        <v>96001.511922336853</v>
      </c>
      <c r="F67">
        <f t="shared" si="4"/>
        <v>544854.83000000089</v>
      </c>
      <c r="G67">
        <f t="shared" si="5"/>
        <v>202309.05999999994</v>
      </c>
    </row>
    <row r="68" spans="1:7" x14ac:dyDescent="0.3">
      <c r="A68" t="s">
        <v>139</v>
      </c>
      <c r="B68">
        <f t="shared" si="0"/>
        <v>155932.65999999977</v>
      </c>
      <c r="C68">
        <f t="shared" si="1"/>
        <v>148512.99000000005</v>
      </c>
      <c r="D68" s="5">
        <f t="shared" si="2"/>
        <v>69530.621922336868</v>
      </c>
      <c r="E68" s="5">
        <f t="shared" si="3"/>
        <v>96497.71192233685</v>
      </c>
      <c r="F68">
        <f t="shared" si="4"/>
        <v>553727.86000000092</v>
      </c>
      <c r="G68">
        <f t="shared" si="5"/>
        <v>204610.51999999993</v>
      </c>
    </row>
    <row r="69" spans="1:7" x14ac:dyDescent="0.3">
      <c r="A69" t="s">
        <v>140</v>
      </c>
      <c r="B69">
        <f t="shared" si="0"/>
        <v>158446.08999999976</v>
      </c>
      <c r="C69">
        <f t="shared" si="1"/>
        <v>150244.22000000006</v>
      </c>
      <c r="D69" s="5">
        <f t="shared" si="2"/>
        <v>70026.821922336865</v>
      </c>
      <c r="E69" s="5">
        <f t="shared" si="3"/>
        <v>96993.911922336847</v>
      </c>
      <c r="F69">
        <f t="shared" si="4"/>
        <v>562600.89000000095</v>
      </c>
      <c r="G69">
        <f t="shared" si="5"/>
        <v>206911.97999999992</v>
      </c>
    </row>
    <row r="70" spans="1:7" x14ac:dyDescent="0.3">
      <c r="A70" t="s">
        <v>141</v>
      </c>
      <c r="B70">
        <f t="shared" si="0"/>
        <v>160959.51999999976</v>
      </c>
      <c r="C70">
        <f t="shared" si="1"/>
        <v>151975.45000000007</v>
      </c>
      <c r="D70" s="5">
        <f t="shared" si="2"/>
        <v>70523.021922336862</v>
      </c>
      <c r="E70" s="5">
        <f t="shared" si="3"/>
        <v>97490.111922336844</v>
      </c>
      <c r="F70">
        <f t="shared" si="4"/>
        <v>571473.92000000097</v>
      </c>
      <c r="G70">
        <f t="shared" si="5"/>
        <v>209213.43999999992</v>
      </c>
    </row>
    <row r="71" spans="1:7" x14ac:dyDescent="0.3">
      <c r="A71" t="s">
        <v>142</v>
      </c>
      <c r="B71">
        <f t="shared" si="0"/>
        <v>163472.94999999975</v>
      </c>
      <c r="C71">
        <f t="shared" si="1"/>
        <v>153706.68000000008</v>
      </c>
      <c r="D71" s="5">
        <f t="shared" si="2"/>
        <v>71019.221922336859</v>
      </c>
      <c r="E71" s="5">
        <f t="shared" si="3"/>
        <v>97986.311922336841</v>
      </c>
      <c r="F71">
        <f t="shared" si="4"/>
        <v>580346.950000001</v>
      </c>
      <c r="G71">
        <f t="shared" si="5"/>
        <v>211514.89999999991</v>
      </c>
    </row>
    <row r="72" spans="1:7" x14ac:dyDescent="0.3">
      <c r="A72" t="s">
        <v>143</v>
      </c>
      <c r="B72">
        <f t="shared" ref="B72:B106" si="6">B71+2513.43</f>
        <v>165986.37999999974</v>
      </c>
      <c r="C72">
        <f t="shared" ref="C72:C106" si="7">C71+1731.23</f>
        <v>155437.91000000009</v>
      </c>
      <c r="D72" s="5">
        <f t="shared" ref="D72:D106" si="8">D71+496.2</f>
        <v>71515.421922336856</v>
      </c>
      <c r="E72" s="5">
        <f t="shared" ref="E72:E105" si="9">E71+496.2</f>
        <v>98482.511922336838</v>
      </c>
      <c r="F72">
        <f t="shared" ref="F72:F106" si="10">F71+8873.03</f>
        <v>589219.98000000103</v>
      </c>
      <c r="G72">
        <f t="shared" ref="G72:G106" si="11">G71+2301.46</f>
        <v>213816.3599999999</v>
      </c>
    </row>
    <row r="73" spans="1:7" x14ac:dyDescent="0.3">
      <c r="A73" t="s">
        <v>144</v>
      </c>
      <c r="B73">
        <f t="shared" si="6"/>
        <v>168499.80999999974</v>
      </c>
      <c r="C73">
        <f t="shared" si="7"/>
        <v>157169.1400000001</v>
      </c>
      <c r="D73" s="5">
        <f t="shared" si="8"/>
        <v>72011.621922336853</v>
      </c>
      <c r="E73" s="5">
        <f t="shared" si="9"/>
        <v>98978.711922336835</v>
      </c>
      <c r="F73">
        <f t="shared" si="10"/>
        <v>598093.01000000106</v>
      </c>
      <c r="G73">
        <f t="shared" si="11"/>
        <v>216117.81999999989</v>
      </c>
    </row>
    <row r="74" spans="1:7" x14ac:dyDescent="0.3">
      <c r="A74" t="s">
        <v>145</v>
      </c>
      <c r="B74">
        <f t="shared" si="6"/>
        <v>171013.23999999973</v>
      </c>
      <c r="C74">
        <f t="shared" si="7"/>
        <v>158900.37000000011</v>
      </c>
      <c r="D74" s="5">
        <f t="shared" si="8"/>
        <v>72507.821922336851</v>
      </c>
      <c r="E74" s="5">
        <f t="shared" si="9"/>
        <v>99474.911922336833</v>
      </c>
      <c r="F74">
        <f t="shared" si="10"/>
        <v>606966.04000000108</v>
      </c>
      <c r="G74">
        <f t="shared" si="11"/>
        <v>218419.27999999988</v>
      </c>
    </row>
    <row r="75" spans="1:7" x14ac:dyDescent="0.3">
      <c r="A75" t="s">
        <v>146</v>
      </c>
      <c r="B75">
        <f t="shared" si="6"/>
        <v>173526.66999999972</v>
      </c>
      <c r="C75">
        <f t="shared" si="7"/>
        <v>160631.60000000012</v>
      </c>
      <c r="D75" s="5">
        <f t="shared" si="8"/>
        <v>73004.021922336848</v>
      </c>
      <c r="E75" s="5">
        <f t="shared" si="9"/>
        <v>99971.11192233683</v>
      </c>
      <c r="F75">
        <f t="shared" si="10"/>
        <v>615839.07000000111</v>
      </c>
      <c r="G75">
        <f t="shared" si="11"/>
        <v>220720.73999999987</v>
      </c>
    </row>
    <row r="76" spans="1:7" x14ac:dyDescent="0.3">
      <c r="A76" t="s">
        <v>147</v>
      </c>
      <c r="B76">
        <f t="shared" si="6"/>
        <v>176040.09999999971</v>
      </c>
      <c r="C76">
        <f t="shared" si="7"/>
        <v>162362.83000000013</v>
      </c>
      <c r="D76" s="5">
        <f t="shared" si="8"/>
        <v>73500.221922336845</v>
      </c>
      <c r="E76" s="5">
        <f t="shared" si="9"/>
        <v>100467.31192233683</v>
      </c>
      <c r="F76">
        <f t="shared" si="10"/>
        <v>624712.10000000114</v>
      </c>
      <c r="G76">
        <f t="shared" si="11"/>
        <v>223022.19999999987</v>
      </c>
    </row>
    <row r="77" spans="1:7" x14ac:dyDescent="0.3">
      <c r="A77" t="s">
        <v>148</v>
      </c>
      <c r="B77">
        <f t="shared" si="6"/>
        <v>178553.52999999971</v>
      </c>
      <c r="C77">
        <f t="shared" si="7"/>
        <v>164094.06000000014</v>
      </c>
      <c r="D77" s="5">
        <f t="shared" si="8"/>
        <v>73996.421922336842</v>
      </c>
      <c r="E77" s="5">
        <f t="shared" si="9"/>
        <v>100963.51192233682</v>
      </c>
      <c r="F77">
        <f t="shared" si="10"/>
        <v>633585.13000000117</v>
      </c>
      <c r="G77">
        <f t="shared" si="11"/>
        <v>225323.65999999986</v>
      </c>
    </row>
    <row r="78" spans="1:7" x14ac:dyDescent="0.3">
      <c r="A78" t="s">
        <v>149</v>
      </c>
      <c r="B78">
        <f t="shared" si="6"/>
        <v>181066.9599999997</v>
      </c>
      <c r="C78">
        <f t="shared" si="7"/>
        <v>165825.29000000015</v>
      </c>
      <c r="D78" s="5">
        <f t="shared" si="8"/>
        <v>74492.621922336839</v>
      </c>
      <c r="E78" s="5">
        <f t="shared" si="9"/>
        <v>101459.71192233682</v>
      </c>
      <c r="F78">
        <f t="shared" si="10"/>
        <v>642458.1600000012</v>
      </c>
      <c r="G78">
        <f t="shared" si="11"/>
        <v>227625.11999999985</v>
      </c>
    </row>
    <row r="79" spans="1:7" x14ac:dyDescent="0.3">
      <c r="A79" t="s">
        <v>150</v>
      </c>
      <c r="B79">
        <f t="shared" si="6"/>
        <v>183580.38999999969</v>
      </c>
      <c r="C79">
        <f t="shared" si="7"/>
        <v>167556.52000000016</v>
      </c>
      <c r="D79" s="5">
        <f t="shared" si="8"/>
        <v>74988.821922336836</v>
      </c>
      <c r="E79" s="5">
        <f t="shared" si="9"/>
        <v>101955.91192233682</v>
      </c>
      <c r="F79">
        <f t="shared" si="10"/>
        <v>651331.19000000122</v>
      </c>
      <c r="G79">
        <f t="shared" si="11"/>
        <v>229926.57999999984</v>
      </c>
    </row>
    <row r="80" spans="1:7" x14ac:dyDescent="0.3">
      <c r="A80" t="s">
        <v>151</v>
      </c>
      <c r="B80">
        <f t="shared" si="6"/>
        <v>186093.81999999969</v>
      </c>
      <c r="C80">
        <f t="shared" si="7"/>
        <v>169287.75000000017</v>
      </c>
      <c r="D80" s="5">
        <f t="shared" si="8"/>
        <v>75485.021922336833</v>
      </c>
      <c r="E80" s="5">
        <f t="shared" si="9"/>
        <v>102452.11192233682</v>
      </c>
      <c r="F80">
        <f t="shared" si="10"/>
        <v>660204.22000000125</v>
      </c>
      <c r="G80">
        <f t="shared" si="11"/>
        <v>232228.03999999983</v>
      </c>
    </row>
    <row r="81" spans="1:7" x14ac:dyDescent="0.3">
      <c r="A81" t="s">
        <v>152</v>
      </c>
      <c r="B81">
        <f t="shared" si="6"/>
        <v>188607.24999999968</v>
      </c>
      <c r="C81">
        <f>C80+1731.23+12973</f>
        <v>183991.98000000019</v>
      </c>
      <c r="D81" s="5">
        <f>D80+496.2+3505</f>
        <v>79486.22192233683</v>
      </c>
      <c r="E81" s="5">
        <f>E80+496.2+3505</f>
        <v>106453.31192233681</v>
      </c>
      <c r="F81">
        <f>F80+8873.03+1200</f>
        <v>670277.25000000128</v>
      </c>
      <c r="G81">
        <f>G80+2301.46+20640</f>
        <v>255169.49999999983</v>
      </c>
    </row>
    <row r="82" spans="1:7" x14ac:dyDescent="0.3">
      <c r="A82" t="s">
        <v>153</v>
      </c>
      <c r="B82">
        <f t="shared" si="6"/>
        <v>191120.67999999967</v>
      </c>
      <c r="C82">
        <f t="shared" si="7"/>
        <v>185723.2100000002</v>
      </c>
      <c r="D82" s="5">
        <f t="shared" si="8"/>
        <v>79982.421922336827</v>
      </c>
      <c r="E82" s="5">
        <f t="shared" si="9"/>
        <v>106949.51192233681</v>
      </c>
      <c r="F82">
        <f t="shared" si="10"/>
        <v>679150.28000000131</v>
      </c>
      <c r="G82">
        <f t="shared" si="11"/>
        <v>257470.95999999982</v>
      </c>
    </row>
    <row r="83" spans="1:7" x14ac:dyDescent="0.3">
      <c r="A83" t="s">
        <v>154</v>
      </c>
      <c r="B83">
        <f t="shared" si="6"/>
        <v>193634.10999999967</v>
      </c>
      <c r="C83">
        <f t="shared" si="7"/>
        <v>187454.44000000021</v>
      </c>
      <c r="D83" s="5">
        <f t="shared" si="8"/>
        <v>80478.621922336824</v>
      </c>
      <c r="E83" s="5">
        <f t="shared" si="9"/>
        <v>107445.71192233681</v>
      </c>
      <c r="F83">
        <f t="shared" si="10"/>
        <v>688023.31000000134</v>
      </c>
      <c r="G83">
        <f t="shared" si="11"/>
        <v>259772.41999999981</v>
      </c>
    </row>
    <row r="84" spans="1:7" x14ac:dyDescent="0.3">
      <c r="A84" t="s">
        <v>155</v>
      </c>
      <c r="B84">
        <f t="shared" si="6"/>
        <v>196147.53999999966</v>
      </c>
      <c r="C84">
        <f t="shared" si="7"/>
        <v>189185.67000000022</v>
      </c>
      <c r="D84" s="5">
        <f t="shared" si="8"/>
        <v>80974.821922336821</v>
      </c>
      <c r="E84" s="5">
        <f t="shared" si="9"/>
        <v>107941.9119223368</v>
      </c>
      <c r="F84">
        <f t="shared" si="10"/>
        <v>696896.34000000136</v>
      </c>
      <c r="G84">
        <f t="shared" si="11"/>
        <v>262073.8799999998</v>
      </c>
    </row>
    <row r="85" spans="1:7" x14ac:dyDescent="0.3">
      <c r="A85" t="s">
        <v>156</v>
      </c>
      <c r="B85">
        <f t="shared" si="6"/>
        <v>198660.96999999965</v>
      </c>
      <c r="C85">
        <f t="shared" si="7"/>
        <v>190916.90000000023</v>
      </c>
      <c r="D85" s="5">
        <f t="shared" si="8"/>
        <v>81471.021922336819</v>
      </c>
      <c r="E85" s="5">
        <f t="shared" si="9"/>
        <v>108438.1119223368</v>
      </c>
      <c r="F85">
        <f t="shared" si="10"/>
        <v>705769.37000000139</v>
      </c>
      <c r="G85">
        <f t="shared" si="11"/>
        <v>264375.33999999979</v>
      </c>
    </row>
    <row r="86" spans="1:7" x14ac:dyDescent="0.3">
      <c r="A86" t="s">
        <v>157</v>
      </c>
      <c r="B86">
        <f t="shared" si="6"/>
        <v>201174.39999999964</v>
      </c>
      <c r="C86">
        <f t="shared" si="7"/>
        <v>192648.13000000024</v>
      </c>
      <c r="D86" s="5">
        <f t="shared" si="8"/>
        <v>81967.221922336816</v>
      </c>
      <c r="E86" s="5">
        <f t="shared" si="9"/>
        <v>108934.3119223368</v>
      </c>
      <c r="F86">
        <f t="shared" si="10"/>
        <v>714642.40000000142</v>
      </c>
      <c r="G86">
        <f t="shared" si="11"/>
        <v>266676.79999999981</v>
      </c>
    </row>
    <row r="87" spans="1:7" x14ac:dyDescent="0.3">
      <c r="A87" t="s">
        <v>158</v>
      </c>
      <c r="B87">
        <f t="shared" si="6"/>
        <v>203687.82999999964</v>
      </c>
      <c r="C87">
        <f t="shared" si="7"/>
        <v>194379.36000000025</v>
      </c>
      <c r="D87" s="5">
        <f t="shared" si="8"/>
        <v>82463.421922336813</v>
      </c>
      <c r="E87" s="5">
        <f t="shared" si="9"/>
        <v>109430.51192233679</v>
      </c>
      <c r="F87">
        <f t="shared" si="10"/>
        <v>723515.43000000145</v>
      </c>
      <c r="G87">
        <f t="shared" si="11"/>
        <v>268978.25999999983</v>
      </c>
    </row>
    <row r="88" spans="1:7" x14ac:dyDescent="0.3">
      <c r="A88" t="s">
        <v>159</v>
      </c>
      <c r="B88">
        <f t="shared" si="6"/>
        <v>206201.25999999963</v>
      </c>
      <c r="C88">
        <f t="shared" si="7"/>
        <v>196110.59000000026</v>
      </c>
      <c r="D88" s="5">
        <f t="shared" si="8"/>
        <v>82959.62192233681</v>
      </c>
      <c r="E88" s="5">
        <f t="shared" si="9"/>
        <v>109926.71192233679</v>
      </c>
      <c r="F88">
        <f t="shared" si="10"/>
        <v>732388.46000000148</v>
      </c>
      <c r="G88">
        <f t="shared" si="11"/>
        <v>271279.71999999986</v>
      </c>
    </row>
    <row r="89" spans="1:7" x14ac:dyDescent="0.3">
      <c r="A89" t="s">
        <v>160</v>
      </c>
      <c r="B89">
        <f t="shared" si="6"/>
        <v>208714.68999999962</v>
      </c>
      <c r="C89">
        <f t="shared" si="7"/>
        <v>197841.82000000027</v>
      </c>
      <c r="D89" s="5">
        <f t="shared" si="8"/>
        <v>83455.821922336807</v>
      </c>
      <c r="E89" s="5">
        <f t="shared" si="9"/>
        <v>110422.91192233679</v>
      </c>
      <c r="F89">
        <f t="shared" si="10"/>
        <v>741261.4900000015</v>
      </c>
      <c r="G89">
        <f t="shared" si="11"/>
        <v>273581.17999999988</v>
      </c>
    </row>
    <row r="90" spans="1:7" x14ac:dyDescent="0.3">
      <c r="A90" t="s">
        <v>161</v>
      </c>
      <c r="B90">
        <f t="shared" si="6"/>
        <v>211228.11999999962</v>
      </c>
      <c r="C90">
        <f t="shared" si="7"/>
        <v>199573.05000000028</v>
      </c>
      <c r="D90" s="5">
        <f t="shared" si="8"/>
        <v>83952.021922336804</v>
      </c>
      <c r="E90" s="5">
        <f t="shared" si="9"/>
        <v>110919.11192233679</v>
      </c>
      <c r="F90">
        <f t="shared" si="10"/>
        <v>750134.52000000153</v>
      </c>
      <c r="G90">
        <f t="shared" si="11"/>
        <v>275882.6399999999</v>
      </c>
    </row>
    <row r="91" spans="1:7" x14ac:dyDescent="0.3">
      <c r="A91" t="s">
        <v>162</v>
      </c>
      <c r="B91">
        <f t="shared" si="6"/>
        <v>213741.54999999961</v>
      </c>
      <c r="C91">
        <f t="shared" si="7"/>
        <v>201304.28000000029</v>
      </c>
      <c r="D91" s="5">
        <f t="shared" si="8"/>
        <v>84448.221922336801</v>
      </c>
      <c r="E91" s="5">
        <f t="shared" si="9"/>
        <v>111415.31192233678</v>
      </c>
      <c r="F91">
        <f t="shared" si="10"/>
        <v>759007.55000000156</v>
      </c>
      <c r="G91">
        <f t="shared" si="11"/>
        <v>278184.09999999992</v>
      </c>
    </row>
    <row r="92" spans="1:7" x14ac:dyDescent="0.3">
      <c r="A92" t="s">
        <v>163</v>
      </c>
      <c r="B92">
        <f t="shared" si="6"/>
        <v>216254.9799999996</v>
      </c>
      <c r="C92">
        <f t="shared" si="7"/>
        <v>203035.5100000003</v>
      </c>
      <c r="D92" s="5">
        <f t="shared" si="8"/>
        <v>84944.421922336798</v>
      </c>
      <c r="E92" s="5">
        <f t="shared" si="9"/>
        <v>111911.51192233678</v>
      </c>
      <c r="F92">
        <f t="shared" si="10"/>
        <v>767880.58000000159</v>
      </c>
      <c r="G92">
        <f t="shared" si="11"/>
        <v>280485.55999999994</v>
      </c>
    </row>
    <row r="93" spans="1:7" x14ac:dyDescent="0.3">
      <c r="A93" t="s">
        <v>164</v>
      </c>
      <c r="B93">
        <f t="shared" si="6"/>
        <v>218768.4099999996</v>
      </c>
      <c r="C93">
        <f t="shared" si="7"/>
        <v>204766.74000000031</v>
      </c>
      <c r="D93" s="5">
        <f t="shared" si="8"/>
        <v>85440.621922336795</v>
      </c>
      <c r="E93" s="5">
        <f t="shared" si="9"/>
        <v>112407.71192233678</v>
      </c>
      <c r="F93">
        <f t="shared" si="10"/>
        <v>776753.61000000162</v>
      </c>
      <c r="G93">
        <f t="shared" si="11"/>
        <v>282787.01999999996</v>
      </c>
    </row>
    <row r="94" spans="1:7" x14ac:dyDescent="0.3">
      <c r="A94" t="s">
        <v>165</v>
      </c>
      <c r="B94">
        <f t="shared" si="6"/>
        <v>221281.83999999959</v>
      </c>
      <c r="C94">
        <f t="shared" si="7"/>
        <v>206497.97000000032</v>
      </c>
      <c r="D94" s="5">
        <f t="shared" si="8"/>
        <v>85936.821922336792</v>
      </c>
      <c r="E94" s="5">
        <f t="shared" si="9"/>
        <v>112903.91192233677</v>
      </c>
      <c r="F94">
        <f t="shared" si="10"/>
        <v>785626.64000000164</v>
      </c>
      <c r="G94">
        <f t="shared" si="11"/>
        <v>285088.48</v>
      </c>
    </row>
    <row r="95" spans="1:7" x14ac:dyDescent="0.3">
      <c r="A95" t="s">
        <v>166</v>
      </c>
      <c r="B95">
        <f t="shared" si="6"/>
        <v>223795.26999999958</v>
      </c>
      <c r="C95">
        <f t="shared" si="7"/>
        <v>208229.20000000033</v>
      </c>
      <c r="D95" s="5">
        <f t="shared" si="8"/>
        <v>86433.021922336789</v>
      </c>
      <c r="E95" s="5">
        <f t="shared" si="9"/>
        <v>113400.11192233677</v>
      </c>
      <c r="F95">
        <f t="shared" si="10"/>
        <v>794499.67000000167</v>
      </c>
      <c r="G95">
        <f t="shared" si="11"/>
        <v>287389.94</v>
      </c>
    </row>
    <row r="96" spans="1:7" x14ac:dyDescent="0.3">
      <c r="A96" t="s">
        <v>167</v>
      </c>
      <c r="B96">
        <f t="shared" si="6"/>
        <v>226308.69999999958</v>
      </c>
      <c r="C96">
        <f t="shared" si="7"/>
        <v>209960.43000000034</v>
      </c>
      <c r="D96" s="5">
        <f t="shared" si="8"/>
        <v>86929.221922336787</v>
      </c>
      <c r="E96" s="5">
        <f t="shared" si="9"/>
        <v>113896.31192233677</v>
      </c>
      <c r="F96">
        <f t="shared" si="10"/>
        <v>803372.7000000017</v>
      </c>
      <c r="G96">
        <f t="shared" si="11"/>
        <v>289691.40000000002</v>
      </c>
    </row>
    <row r="97" spans="1:7" x14ac:dyDescent="0.3">
      <c r="A97" t="s">
        <v>168</v>
      </c>
      <c r="B97">
        <f t="shared" si="6"/>
        <v>228822.12999999957</v>
      </c>
      <c r="C97">
        <f t="shared" si="7"/>
        <v>211691.66000000035</v>
      </c>
      <c r="D97" s="5">
        <f t="shared" si="8"/>
        <v>87425.421922336784</v>
      </c>
      <c r="E97" s="5">
        <f t="shared" si="9"/>
        <v>114392.51192233677</v>
      </c>
      <c r="F97">
        <f t="shared" si="10"/>
        <v>812245.73000000173</v>
      </c>
      <c r="G97">
        <f t="shared" si="11"/>
        <v>291992.86000000004</v>
      </c>
    </row>
    <row r="98" spans="1:7" x14ac:dyDescent="0.3">
      <c r="A98" t="s">
        <v>169</v>
      </c>
      <c r="B98">
        <f t="shared" si="6"/>
        <v>231335.55999999956</v>
      </c>
      <c r="C98">
        <f t="shared" si="7"/>
        <v>213422.89000000036</v>
      </c>
      <c r="D98" s="5">
        <f t="shared" si="8"/>
        <v>87921.621922336781</v>
      </c>
      <c r="E98" s="5">
        <f t="shared" si="9"/>
        <v>114888.71192233676</v>
      </c>
      <c r="F98">
        <f t="shared" si="10"/>
        <v>821118.76000000176</v>
      </c>
      <c r="G98">
        <f t="shared" si="11"/>
        <v>294294.32000000007</v>
      </c>
    </row>
    <row r="99" spans="1:7" x14ac:dyDescent="0.3">
      <c r="A99" t="s">
        <v>170</v>
      </c>
      <c r="B99">
        <f t="shared" si="6"/>
        <v>233848.98999999955</v>
      </c>
      <c r="C99">
        <f t="shared" si="7"/>
        <v>215154.12000000037</v>
      </c>
      <c r="D99" s="5">
        <f t="shared" si="8"/>
        <v>88417.821922336778</v>
      </c>
      <c r="E99" s="5">
        <f t="shared" si="9"/>
        <v>115384.91192233676</v>
      </c>
      <c r="F99">
        <f t="shared" si="10"/>
        <v>829991.79000000178</v>
      </c>
      <c r="G99">
        <f t="shared" si="11"/>
        <v>296595.78000000009</v>
      </c>
    </row>
    <row r="100" spans="1:7" x14ac:dyDescent="0.3">
      <c r="A100" t="s">
        <v>171</v>
      </c>
      <c r="B100">
        <f t="shared" si="6"/>
        <v>236362.41999999955</v>
      </c>
      <c r="C100">
        <f t="shared" si="7"/>
        <v>216885.35000000038</v>
      </c>
      <c r="D100" s="5">
        <f t="shared" si="8"/>
        <v>88914.021922336775</v>
      </c>
      <c r="E100" s="5">
        <f t="shared" si="9"/>
        <v>115881.11192233676</v>
      </c>
      <c r="F100">
        <f t="shared" si="10"/>
        <v>838864.82000000181</v>
      </c>
      <c r="G100">
        <f t="shared" si="11"/>
        <v>298897.24000000011</v>
      </c>
    </row>
    <row r="101" spans="1:7" x14ac:dyDescent="0.3">
      <c r="A101" t="s">
        <v>172</v>
      </c>
      <c r="B101">
        <f t="shared" si="6"/>
        <v>238875.84999999954</v>
      </c>
      <c r="C101">
        <f t="shared" si="7"/>
        <v>218616.58000000039</v>
      </c>
      <c r="D101" s="5">
        <f t="shared" si="8"/>
        <v>89410.221922336772</v>
      </c>
      <c r="E101" s="5">
        <f t="shared" si="9"/>
        <v>116377.31192233675</v>
      </c>
      <c r="F101">
        <f t="shared" si="10"/>
        <v>847737.85000000184</v>
      </c>
      <c r="G101">
        <f t="shared" si="11"/>
        <v>301198.70000000013</v>
      </c>
    </row>
    <row r="102" spans="1:7" x14ac:dyDescent="0.3">
      <c r="A102" t="s">
        <v>173</v>
      </c>
      <c r="B102">
        <f t="shared" si="6"/>
        <v>241389.27999999953</v>
      </c>
      <c r="C102">
        <f t="shared" si="7"/>
        <v>220347.81000000041</v>
      </c>
      <c r="D102" s="5">
        <f t="shared" si="8"/>
        <v>89906.421922336769</v>
      </c>
      <c r="E102" s="5">
        <f t="shared" si="9"/>
        <v>116873.51192233675</v>
      </c>
      <c r="F102">
        <f t="shared" si="10"/>
        <v>856610.88000000187</v>
      </c>
      <c r="G102">
        <f t="shared" si="11"/>
        <v>303500.16000000015</v>
      </c>
    </row>
    <row r="103" spans="1:7" x14ac:dyDescent="0.3">
      <c r="A103" t="s">
        <v>174</v>
      </c>
      <c r="B103">
        <f t="shared" si="6"/>
        <v>243902.70999999953</v>
      </c>
      <c r="C103">
        <f t="shared" si="7"/>
        <v>222079.04000000042</v>
      </c>
      <c r="D103" s="5">
        <f t="shared" si="8"/>
        <v>90402.621922336766</v>
      </c>
      <c r="E103" s="5">
        <f t="shared" si="9"/>
        <v>117369.71192233675</v>
      </c>
      <c r="F103">
        <f t="shared" si="10"/>
        <v>865483.9100000019</v>
      </c>
      <c r="G103">
        <f t="shared" si="11"/>
        <v>305801.62000000017</v>
      </c>
    </row>
    <row r="104" spans="1:7" x14ac:dyDescent="0.3">
      <c r="A104" t="s">
        <v>175</v>
      </c>
      <c r="B104">
        <f t="shared" si="6"/>
        <v>246416.13999999952</v>
      </c>
      <c r="C104">
        <f t="shared" si="7"/>
        <v>223810.27000000043</v>
      </c>
      <c r="D104" s="5">
        <f t="shared" si="8"/>
        <v>90898.821922336763</v>
      </c>
      <c r="E104" s="5">
        <f t="shared" si="9"/>
        <v>117865.91192233675</v>
      </c>
      <c r="F104">
        <f t="shared" si="10"/>
        <v>874356.94000000192</v>
      </c>
      <c r="G104">
        <f t="shared" si="11"/>
        <v>308103.08000000019</v>
      </c>
    </row>
    <row r="105" spans="1:7" x14ac:dyDescent="0.3">
      <c r="A105" t="s">
        <v>176</v>
      </c>
      <c r="B105">
        <f t="shared" si="6"/>
        <v>248929.56999999951</v>
      </c>
      <c r="C105">
        <f t="shared" si="7"/>
        <v>225541.50000000044</v>
      </c>
      <c r="D105" s="5">
        <f t="shared" si="8"/>
        <v>91395.02192233676</v>
      </c>
      <c r="E105" s="5">
        <f t="shared" si="9"/>
        <v>118362.11192233674</v>
      </c>
      <c r="F105">
        <f t="shared" si="10"/>
        <v>883229.97000000195</v>
      </c>
      <c r="G105">
        <f t="shared" si="11"/>
        <v>310404.54000000021</v>
      </c>
    </row>
    <row r="106" spans="1:7" x14ac:dyDescent="0.3">
      <c r="A106" t="s">
        <v>177</v>
      </c>
      <c r="B106">
        <f t="shared" si="6"/>
        <v>251442.99999999951</v>
      </c>
      <c r="C106">
        <f t="shared" si="7"/>
        <v>227272.73000000045</v>
      </c>
      <c r="D106" s="5">
        <f t="shared" si="8"/>
        <v>91891.221922336757</v>
      </c>
      <c r="E106" s="5">
        <f>E105+496.2</f>
        <v>118858.31192233674</v>
      </c>
      <c r="F106">
        <f t="shared" si="10"/>
        <v>892103.00000000198</v>
      </c>
      <c r="G106">
        <f t="shared" si="11"/>
        <v>312706.00000000023</v>
      </c>
    </row>
    <row r="111" spans="1:7" x14ac:dyDescent="0.3">
      <c r="A111" t="s">
        <v>181</v>
      </c>
      <c r="C111">
        <v>2257.73</v>
      </c>
      <c r="D111">
        <v>17738.22</v>
      </c>
      <c r="E111">
        <v>17738.22</v>
      </c>
    </row>
    <row r="112" spans="1:7" x14ac:dyDescent="0.3">
      <c r="A112" t="s">
        <v>182</v>
      </c>
      <c r="C112">
        <v>2900</v>
      </c>
      <c r="D112">
        <v>13410</v>
      </c>
      <c r="E112">
        <v>34072</v>
      </c>
    </row>
    <row r="113" spans="1:5" x14ac:dyDescent="0.3">
      <c r="A113" t="s">
        <v>183</v>
      </c>
      <c r="B113">
        <v>12973</v>
      </c>
      <c r="C113">
        <v>8629</v>
      </c>
      <c r="D113">
        <f>3505+608</f>
        <v>4113</v>
      </c>
      <c r="E113">
        <f>3505+608</f>
        <v>4113</v>
      </c>
    </row>
  </sheetData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DBC5B-2B1F-4FA0-A49A-6087E7DD197A}">
  <dimension ref="A2:G113"/>
  <sheetViews>
    <sheetView topLeftCell="A34" workbookViewId="0">
      <selection activeCell="B7" sqref="B7"/>
    </sheetView>
  </sheetViews>
  <sheetFormatPr defaultRowHeight="14.4" x14ac:dyDescent="0.3"/>
  <cols>
    <col min="2" max="2" width="17.21875" customWidth="1"/>
    <col min="5" max="5" width="9.44140625" customWidth="1"/>
    <col min="6" max="6" width="20.44140625" customWidth="1"/>
    <col min="7" max="7" width="19" customWidth="1"/>
  </cols>
  <sheetData>
    <row r="2" spans="1:7" x14ac:dyDescent="0.3">
      <c r="C2" s="2" t="s">
        <v>179</v>
      </c>
    </row>
    <row r="4" spans="1:7" x14ac:dyDescent="0.3">
      <c r="B4" s="2" t="s">
        <v>188</v>
      </c>
      <c r="C4" s="2" t="s">
        <v>9</v>
      </c>
      <c r="D4" s="2" t="s">
        <v>76</v>
      </c>
      <c r="E4" s="2" t="s">
        <v>77</v>
      </c>
      <c r="F4" s="2" t="s">
        <v>186</v>
      </c>
      <c r="G4" s="2" t="s">
        <v>189</v>
      </c>
    </row>
    <row r="5" spans="1:7" x14ac:dyDescent="0.3">
      <c r="B5" s="2" t="s">
        <v>31</v>
      </c>
      <c r="C5" s="2" t="s">
        <v>31</v>
      </c>
      <c r="D5" s="2" t="s">
        <v>31</v>
      </c>
      <c r="E5" s="2" t="s">
        <v>31</v>
      </c>
      <c r="F5" s="2" t="s">
        <v>31</v>
      </c>
      <c r="G5" s="2" t="s">
        <v>31</v>
      </c>
    </row>
    <row r="6" spans="1:7" x14ac:dyDescent="0.3">
      <c r="A6" t="s">
        <v>178</v>
      </c>
      <c r="B6">
        <f>100</f>
        <v>100</v>
      </c>
      <c r="C6">
        <f>2257.73+8629</f>
        <v>10886.73</v>
      </c>
      <c r="D6" s="5">
        <f>'C1-C4 Demo Base'!L21+'Building Material (A1-A5 B1-B7)'!G4+'HRV (A1, B1, C1)'!F8</f>
        <v>31756.221922337034</v>
      </c>
      <c r="E6" s="5">
        <f>'C1-C4 Demo Base'!L21+'Heat Pump R410A (A1, B1, C1)'!G7+'HRV (A1, B1, C1)'!G8+'Building Material (A1-A5 B1-B7)'!H4</f>
        <v>58723.31192233703</v>
      </c>
      <c r="F6">
        <f>1200</f>
        <v>1200</v>
      </c>
      <c r="G6">
        <v>12973</v>
      </c>
    </row>
    <row r="7" spans="1:7" x14ac:dyDescent="0.3">
      <c r="A7" t="s">
        <v>78</v>
      </c>
      <c r="B7">
        <f>B6+1741.58</f>
        <v>1841.58</v>
      </c>
      <c r="C7">
        <f>C6+1032.31</f>
        <v>11919.039999999999</v>
      </c>
      <c r="D7" s="5">
        <f>D6+440.57</f>
        <v>32196.791922337034</v>
      </c>
      <c r="E7" s="5">
        <f>E6+440.57</f>
        <v>59163.88192233703</v>
      </c>
      <c r="F7">
        <f>F6+5230.97</f>
        <v>6430.97</v>
      </c>
      <c r="G7">
        <f>G6+1219.73</f>
        <v>14192.73</v>
      </c>
    </row>
    <row r="8" spans="1:7" x14ac:dyDescent="0.3">
      <c r="A8" t="s">
        <v>83</v>
      </c>
      <c r="B8">
        <f>B7+1741.58</f>
        <v>3583.16</v>
      </c>
      <c r="C8">
        <f t="shared" ref="C8:C71" si="0">C7+1032.31</f>
        <v>12951.349999999999</v>
      </c>
      <c r="D8" s="5">
        <f t="shared" ref="D8:D71" si="1">D7+440.57</f>
        <v>32637.361922337033</v>
      </c>
      <c r="E8" s="5">
        <f t="shared" ref="E8:E71" si="2">E7+440.57</f>
        <v>59604.45192233703</v>
      </c>
      <c r="F8">
        <f t="shared" ref="F8:F71" si="3">F7+5230.97</f>
        <v>11661.94</v>
      </c>
      <c r="G8">
        <f t="shared" ref="G8:G71" si="4">G7+1219.73</f>
        <v>15412.46</v>
      </c>
    </row>
    <row r="9" spans="1:7" x14ac:dyDescent="0.3">
      <c r="A9" t="s">
        <v>84</v>
      </c>
      <c r="B9">
        <f t="shared" ref="B9:B72" si="5">B8+1741.58</f>
        <v>5324.74</v>
      </c>
      <c r="C9">
        <f t="shared" si="0"/>
        <v>13983.659999999998</v>
      </c>
      <c r="D9" s="5">
        <f t="shared" si="1"/>
        <v>33077.931922337033</v>
      </c>
      <c r="E9" s="5">
        <f t="shared" si="2"/>
        <v>60045.02192233703</v>
      </c>
      <c r="F9">
        <f t="shared" si="3"/>
        <v>16892.91</v>
      </c>
      <c r="G9">
        <f t="shared" si="4"/>
        <v>16632.189999999999</v>
      </c>
    </row>
    <row r="10" spans="1:7" x14ac:dyDescent="0.3">
      <c r="A10" t="s">
        <v>85</v>
      </c>
      <c r="B10">
        <f t="shared" si="5"/>
        <v>7066.32</v>
      </c>
      <c r="C10">
        <f t="shared" si="0"/>
        <v>15015.969999999998</v>
      </c>
      <c r="D10" s="5">
        <f t="shared" si="1"/>
        <v>33518.501922337033</v>
      </c>
      <c r="E10" s="5">
        <f t="shared" si="2"/>
        <v>60485.591922337029</v>
      </c>
      <c r="F10">
        <f t="shared" si="3"/>
        <v>22123.88</v>
      </c>
      <c r="G10">
        <f t="shared" si="4"/>
        <v>17851.919999999998</v>
      </c>
    </row>
    <row r="11" spans="1:7" x14ac:dyDescent="0.3">
      <c r="A11" t="s">
        <v>79</v>
      </c>
      <c r="B11">
        <f t="shared" si="5"/>
        <v>8807.9</v>
      </c>
      <c r="C11">
        <f t="shared" si="0"/>
        <v>16048.279999999997</v>
      </c>
      <c r="D11" s="5">
        <f t="shared" si="1"/>
        <v>33959.071922337032</v>
      </c>
      <c r="E11" s="5">
        <f t="shared" si="2"/>
        <v>60926.161922337029</v>
      </c>
      <c r="F11">
        <f t="shared" si="3"/>
        <v>27354.850000000002</v>
      </c>
      <c r="G11">
        <f t="shared" si="4"/>
        <v>19071.649999999998</v>
      </c>
    </row>
    <row r="12" spans="1:7" x14ac:dyDescent="0.3">
      <c r="A12" t="s">
        <v>86</v>
      </c>
      <c r="B12">
        <f t="shared" si="5"/>
        <v>10549.48</v>
      </c>
      <c r="C12">
        <f t="shared" si="0"/>
        <v>17080.589999999997</v>
      </c>
      <c r="D12" s="5">
        <f t="shared" si="1"/>
        <v>34399.641922337032</v>
      </c>
      <c r="E12" s="5">
        <f t="shared" si="2"/>
        <v>61366.731922337029</v>
      </c>
      <c r="F12">
        <f t="shared" si="3"/>
        <v>32585.820000000003</v>
      </c>
      <c r="G12">
        <f t="shared" si="4"/>
        <v>20291.379999999997</v>
      </c>
    </row>
    <row r="13" spans="1:7" x14ac:dyDescent="0.3">
      <c r="A13" t="s">
        <v>87</v>
      </c>
      <c r="B13">
        <f t="shared" si="5"/>
        <v>12291.06</v>
      </c>
      <c r="C13">
        <f t="shared" si="0"/>
        <v>18112.899999999998</v>
      </c>
      <c r="D13" s="5">
        <f t="shared" si="1"/>
        <v>34840.211922337032</v>
      </c>
      <c r="E13" s="5">
        <f t="shared" si="2"/>
        <v>61807.301922337028</v>
      </c>
      <c r="F13">
        <f t="shared" si="3"/>
        <v>37816.79</v>
      </c>
      <c r="G13">
        <f t="shared" si="4"/>
        <v>21511.109999999997</v>
      </c>
    </row>
    <row r="14" spans="1:7" x14ac:dyDescent="0.3">
      <c r="A14" t="s">
        <v>88</v>
      </c>
      <c r="B14">
        <f t="shared" si="5"/>
        <v>14032.64</v>
      </c>
      <c r="C14">
        <f t="shared" si="0"/>
        <v>19145.21</v>
      </c>
      <c r="D14" s="5">
        <f t="shared" si="1"/>
        <v>35280.781922337032</v>
      </c>
      <c r="E14" s="5">
        <f t="shared" si="2"/>
        <v>62247.871922337028</v>
      </c>
      <c r="F14">
        <f t="shared" si="3"/>
        <v>43047.76</v>
      </c>
      <c r="G14">
        <f t="shared" si="4"/>
        <v>22730.839999999997</v>
      </c>
    </row>
    <row r="15" spans="1:7" x14ac:dyDescent="0.3">
      <c r="A15" t="s">
        <v>89</v>
      </c>
      <c r="B15">
        <f t="shared" si="5"/>
        <v>15774.22</v>
      </c>
      <c r="C15">
        <f t="shared" si="0"/>
        <v>20177.52</v>
      </c>
      <c r="D15" s="5">
        <f t="shared" si="1"/>
        <v>35721.351922337031</v>
      </c>
      <c r="E15" s="5">
        <f t="shared" si="2"/>
        <v>62688.441922337028</v>
      </c>
      <c r="F15">
        <f t="shared" si="3"/>
        <v>48278.73</v>
      </c>
      <c r="G15">
        <f t="shared" si="4"/>
        <v>23950.569999999996</v>
      </c>
    </row>
    <row r="16" spans="1:7" x14ac:dyDescent="0.3">
      <c r="A16" t="s">
        <v>80</v>
      </c>
      <c r="B16">
        <f t="shared" si="5"/>
        <v>17515.8</v>
      </c>
      <c r="C16">
        <f t="shared" si="0"/>
        <v>21209.83</v>
      </c>
      <c r="D16" s="5">
        <f t="shared" si="1"/>
        <v>36161.921922337031</v>
      </c>
      <c r="E16" s="5">
        <f t="shared" si="2"/>
        <v>63129.011922337027</v>
      </c>
      <c r="F16">
        <f t="shared" si="3"/>
        <v>53509.700000000004</v>
      </c>
      <c r="G16">
        <f t="shared" si="4"/>
        <v>25170.299999999996</v>
      </c>
    </row>
    <row r="17" spans="1:7" x14ac:dyDescent="0.3">
      <c r="A17" t="s">
        <v>90</v>
      </c>
      <c r="B17">
        <f t="shared" si="5"/>
        <v>19257.379999999997</v>
      </c>
      <c r="C17">
        <f t="shared" si="0"/>
        <v>22242.140000000003</v>
      </c>
      <c r="D17" s="5">
        <f t="shared" si="1"/>
        <v>36602.491922337031</v>
      </c>
      <c r="E17" s="5">
        <f t="shared" si="2"/>
        <v>63569.581922337027</v>
      </c>
      <c r="F17">
        <f t="shared" si="3"/>
        <v>58740.670000000006</v>
      </c>
      <c r="G17">
        <f t="shared" si="4"/>
        <v>26390.029999999995</v>
      </c>
    </row>
    <row r="18" spans="1:7" x14ac:dyDescent="0.3">
      <c r="A18" t="s">
        <v>91</v>
      </c>
      <c r="B18">
        <f t="shared" si="5"/>
        <v>20998.959999999999</v>
      </c>
      <c r="C18">
        <f t="shared" si="0"/>
        <v>23274.450000000004</v>
      </c>
      <c r="D18" s="5">
        <f t="shared" si="1"/>
        <v>37043.06192233703</v>
      </c>
      <c r="E18" s="5">
        <f t="shared" si="2"/>
        <v>64010.151922337027</v>
      </c>
      <c r="F18">
        <f t="shared" si="3"/>
        <v>63971.640000000007</v>
      </c>
      <c r="G18">
        <f t="shared" si="4"/>
        <v>27609.759999999995</v>
      </c>
    </row>
    <row r="19" spans="1:7" x14ac:dyDescent="0.3">
      <c r="A19" t="s">
        <v>92</v>
      </c>
      <c r="B19">
        <f t="shared" si="5"/>
        <v>22740.54</v>
      </c>
      <c r="C19">
        <f t="shared" si="0"/>
        <v>24306.760000000006</v>
      </c>
      <c r="D19" s="5">
        <f t="shared" si="1"/>
        <v>37483.63192233703</v>
      </c>
      <c r="E19" s="5">
        <f t="shared" si="2"/>
        <v>64450.721922337027</v>
      </c>
      <c r="F19">
        <f t="shared" si="3"/>
        <v>69202.61</v>
      </c>
      <c r="G19">
        <f t="shared" si="4"/>
        <v>28829.489999999994</v>
      </c>
    </row>
    <row r="20" spans="1:7" x14ac:dyDescent="0.3">
      <c r="A20" t="s">
        <v>93</v>
      </c>
      <c r="B20">
        <f t="shared" si="5"/>
        <v>24482.120000000003</v>
      </c>
      <c r="C20">
        <f t="shared" si="0"/>
        <v>25339.070000000007</v>
      </c>
      <c r="D20" s="5">
        <f t="shared" si="1"/>
        <v>37924.20192233703</v>
      </c>
      <c r="E20" s="5">
        <f t="shared" si="2"/>
        <v>64891.291922337026</v>
      </c>
      <c r="F20">
        <f t="shared" si="3"/>
        <v>74433.58</v>
      </c>
      <c r="G20">
        <f t="shared" si="4"/>
        <v>30049.219999999994</v>
      </c>
    </row>
    <row r="21" spans="1:7" x14ac:dyDescent="0.3">
      <c r="A21" t="s">
        <v>81</v>
      </c>
      <c r="B21">
        <f t="shared" si="5"/>
        <v>26223.700000000004</v>
      </c>
      <c r="C21">
        <f t="shared" si="0"/>
        <v>26371.380000000008</v>
      </c>
      <c r="D21" s="5">
        <f t="shared" si="1"/>
        <v>38364.77192233703</v>
      </c>
      <c r="E21" s="5">
        <f t="shared" si="2"/>
        <v>65331.861922337026</v>
      </c>
      <c r="F21">
        <f t="shared" si="3"/>
        <v>79664.55</v>
      </c>
      <c r="G21">
        <f t="shared" si="4"/>
        <v>31268.949999999993</v>
      </c>
    </row>
    <row r="22" spans="1:7" x14ac:dyDescent="0.3">
      <c r="A22" t="s">
        <v>94</v>
      </c>
      <c r="B22">
        <f t="shared" si="5"/>
        <v>27965.280000000006</v>
      </c>
      <c r="C22">
        <f t="shared" si="0"/>
        <v>27403.69000000001</v>
      </c>
      <c r="D22" s="5">
        <f t="shared" si="1"/>
        <v>38805.341922337029</v>
      </c>
      <c r="E22" s="5">
        <f t="shared" si="2"/>
        <v>65772.431922337026</v>
      </c>
      <c r="F22">
        <f t="shared" si="3"/>
        <v>84895.52</v>
      </c>
      <c r="G22">
        <f t="shared" si="4"/>
        <v>32488.679999999993</v>
      </c>
    </row>
    <row r="23" spans="1:7" x14ac:dyDescent="0.3">
      <c r="A23" t="s">
        <v>95</v>
      </c>
      <c r="B23">
        <f t="shared" si="5"/>
        <v>29706.860000000008</v>
      </c>
      <c r="C23">
        <f t="shared" si="0"/>
        <v>28436.000000000011</v>
      </c>
      <c r="D23" s="5">
        <f t="shared" si="1"/>
        <v>39245.911922337029</v>
      </c>
      <c r="E23" s="5">
        <f t="shared" si="2"/>
        <v>66213.001922337033</v>
      </c>
      <c r="F23">
        <f t="shared" si="3"/>
        <v>90126.49</v>
      </c>
      <c r="G23">
        <f t="shared" si="4"/>
        <v>33708.409999999996</v>
      </c>
    </row>
    <row r="24" spans="1:7" x14ac:dyDescent="0.3">
      <c r="A24" t="s">
        <v>96</v>
      </c>
      <c r="B24">
        <f t="shared" si="5"/>
        <v>31448.44000000001</v>
      </c>
      <c r="C24">
        <f t="shared" si="0"/>
        <v>29468.310000000012</v>
      </c>
      <c r="D24" s="5">
        <f t="shared" si="1"/>
        <v>39686.481922337029</v>
      </c>
      <c r="E24" s="5">
        <f t="shared" si="2"/>
        <v>66653.57192233704</v>
      </c>
      <c r="F24">
        <f t="shared" si="3"/>
        <v>95357.46</v>
      </c>
      <c r="G24">
        <f t="shared" si="4"/>
        <v>34928.14</v>
      </c>
    </row>
    <row r="25" spans="1:7" x14ac:dyDescent="0.3">
      <c r="A25" t="s">
        <v>97</v>
      </c>
      <c r="B25">
        <f t="shared" si="5"/>
        <v>33190.020000000011</v>
      </c>
      <c r="C25">
        <f t="shared" si="0"/>
        <v>30500.620000000014</v>
      </c>
      <c r="D25" s="5">
        <f t="shared" si="1"/>
        <v>40127.051922337028</v>
      </c>
      <c r="E25" s="5">
        <f t="shared" si="2"/>
        <v>67094.141922337047</v>
      </c>
      <c r="F25">
        <f>F24+5230.97</f>
        <v>100588.43000000001</v>
      </c>
      <c r="G25">
        <f t="shared" si="4"/>
        <v>36147.870000000003</v>
      </c>
    </row>
    <row r="26" spans="1:7" x14ac:dyDescent="0.3">
      <c r="A26" t="s">
        <v>82</v>
      </c>
      <c r="B26">
        <f t="shared" si="5"/>
        <v>34931.600000000013</v>
      </c>
      <c r="C26">
        <f t="shared" si="0"/>
        <v>31532.930000000015</v>
      </c>
      <c r="D26" s="5">
        <f t="shared" si="1"/>
        <v>40567.621922337028</v>
      </c>
      <c r="E26" s="5">
        <f t="shared" si="2"/>
        <v>67534.711922337054</v>
      </c>
      <c r="F26">
        <f t="shared" si="3"/>
        <v>105819.40000000001</v>
      </c>
      <c r="G26">
        <f t="shared" si="4"/>
        <v>37367.600000000006</v>
      </c>
    </row>
    <row r="27" spans="1:7" x14ac:dyDescent="0.3">
      <c r="A27" t="s">
        <v>98</v>
      </c>
      <c r="B27">
        <f t="shared" si="5"/>
        <v>36673.180000000015</v>
      </c>
      <c r="C27">
        <f t="shared" si="0"/>
        <v>32565.240000000016</v>
      </c>
      <c r="D27" s="5">
        <f t="shared" si="1"/>
        <v>41008.191922337028</v>
      </c>
      <c r="E27" s="5">
        <f t="shared" si="2"/>
        <v>67975.281922337061</v>
      </c>
      <c r="F27">
        <f t="shared" si="3"/>
        <v>111050.37000000001</v>
      </c>
      <c r="G27">
        <f t="shared" si="4"/>
        <v>38587.330000000009</v>
      </c>
    </row>
    <row r="28" spans="1:7" x14ac:dyDescent="0.3">
      <c r="A28" t="s">
        <v>99</v>
      </c>
      <c r="B28">
        <f t="shared" si="5"/>
        <v>38414.760000000017</v>
      </c>
      <c r="C28">
        <f t="shared" si="0"/>
        <v>33597.550000000017</v>
      </c>
      <c r="D28" s="5">
        <f t="shared" si="1"/>
        <v>41448.761922337027</v>
      </c>
      <c r="E28" s="5">
        <f t="shared" si="2"/>
        <v>68415.851922337068</v>
      </c>
      <c r="F28">
        <f t="shared" si="3"/>
        <v>116281.34000000001</v>
      </c>
      <c r="G28">
        <f t="shared" si="4"/>
        <v>39807.060000000012</v>
      </c>
    </row>
    <row r="29" spans="1:7" x14ac:dyDescent="0.3">
      <c r="A29" t="s">
        <v>100</v>
      </c>
      <c r="B29">
        <f t="shared" si="5"/>
        <v>40156.340000000018</v>
      </c>
      <c r="C29">
        <f t="shared" si="0"/>
        <v>34629.860000000015</v>
      </c>
      <c r="D29" s="5">
        <f t="shared" si="1"/>
        <v>41889.331922337027</v>
      </c>
      <c r="E29" s="5">
        <f t="shared" si="2"/>
        <v>68856.421922337075</v>
      </c>
      <c r="F29">
        <f t="shared" si="3"/>
        <v>121512.31000000001</v>
      </c>
      <c r="G29">
        <f t="shared" si="4"/>
        <v>41026.790000000015</v>
      </c>
    </row>
    <row r="30" spans="1:7" x14ac:dyDescent="0.3">
      <c r="A30" t="s">
        <v>101</v>
      </c>
      <c r="B30">
        <f t="shared" si="5"/>
        <v>41897.92000000002</v>
      </c>
      <c r="C30">
        <f t="shared" si="0"/>
        <v>35662.170000000013</v>
      </c>
      <c r="D30" s="5">
        <f t="shared" si="1"/>
        <v>42329.901922337027</v>
      </c>
      <c r="E30" s="5">
        <f t="shared" si="2"/>
        <v>69296.991922337082</v>
      </c>
      <c r="F30">
        <f t="shared" si="3"/>
        <v>126743.28000000001</v>
      </c>
      <c r="G30">
        <f t="shared" si="4"/>
        <v>42246.520000000019</v>
      </c>
    </row>
    <row r="31" spans="1:7" x14ac:dyDescent="0.3">
      <c r="A31" t="s">
        <v>102</v>
      </c>
      <c r="B31">
        <f>B30+1741.58</f>
        <v>43639.500000000022</v>
      </c>
      <c r="C31">
        <f>C30+1032.31+8629</f>
        <v>45323.48000000001</v>
      </c>
      <c r="D31" s="5">
        <f>D30+440.57+3505</f>
        <v>46275.471922337027</v>
      </c>
      <c r="E31" s="5">
        <f>E30+440.57+3505</f>
        <v>73242.561922337089</v>
      </c>
      <c r="F31">
        <f>F30+5230.97+1200</f>
        <v>133174.25</v>
      </c>
      <c r="G31">
        <f>G30+1219.73+12973</f>
        <v>56439.250000000022</v>
      </c>
    </row>
    <row r="32" spans="1:7" x14ac:dyDescent="0.3">
      <c r="A32" t="s">
        <v>103</v>
      </c>
      <c r="B32">
        <f t="shared" si="5"/>
        <v>45381.080000000024</v>
      </c>
      <c r="C32">
        <f t="shared" si="0"/>
        <v>46355.790000000008</v>
      </c>
      <c r="D32" s="5">
        <f t="shared" si="1"/>
        <v>46716.041922337026</v>
      </c>
      <c r="E32" s="5">
        <f t="shared" si="2"/>
        <v>73683.131922337096</v>
      </c>
      <c r="F32">
        <f t="shared" si="3"/>
        <v>138405.22</v>
      </c>
      <c r="G32">
        <f t="shared" si="4"/>
        <v>57658.980000000025</v>
      </c>
    </row>
    <row r="33" spans="1:7" x14ac:dyDescent="0.3">
      <c r="A33" t="s">
        <v>104</v>
      </c>
      <c r="B33">
        <f t="shared" si="5"/>
        <v>47122.660000000025</v>
      </c>
      <c r="C33">
        <f t="shared" si="0"/>
        <v>47388.100000000006</v>
      </c>
      <c r="D33" s="5">
        <f t="shared" si="1"/>
        <v>47156.611922337026</v>
      </c>
      <c r="E33" s="5">
        <f t="shared" si="2"/>
        <v>74123.701922337103</v>
      </c>
      <c r="F33">
        <f t="shared" si="3"/>
        <v>143636.19</v>
      </c>
      <c r="G33">
        <f t="shared" si="4"/>
        <v>58878.710000000028</v>
      </c>
    </row>
    <row r="34" spans="1:7" x14ac:dyDescent="0.3">
      <c r="A34" t="s">
        <v>105</v>
      </c>
      <c r="B34">
        <f t="shared" si="5"/>
        <v>48864.240000000027</v>
      </c>
      <c r="C34">
        <f t="shared" si="0"/>
        <v>48420.41</v>
      </c>
      <c r="D34" s="5">
        <f t="shared" si="1"/>
        <v>47597.181922337026</v>
      </c>
      <c r="E34" s="5">
        <f t="shared" si="2"/>
        <v>74564.27192233711</v>
      </c>
      <c r="F34">
        <f t="shared" si="3"/>
        <v>148867.16</v>
      </c>
      <c r="G34">
        <f t="shared" si="4"/>
        <v>60098.440000000031</v>
      </c>
    </row>
    <row r="35" spans="1:7" x14ac:dyDescent="0.3">
      <c r="A35" t="s">
        <v>106</v>
      </c>
      <c r="B35">
        <f t="shared" si="5"/>
        <v>50605.820000000029</v>
      </c>
      <c r="C35">
        <f t="shared" si="0"/>
        <v>49452.72</v>
      </c>
      <c r="D35" s="5">
        <f t="shared" si="1"/>
        <v>48037.751922337025</v>
      </c>
      <c r="E35" s="5">
        <f t="shared" si="2"/>
        <v>75004.841922337117</v>
      </c>
      <c r="F35">
        <f t="shared" si="3"/>
        <v>154098.13</v>
      </c>
      <c r="G35">
        <f t="shared" si="4"/>
        <v>61318.170000000035</v>
      </c>
    </row>
    <row r="36" spans="1:7" x14ac:dyDescent="0.3">
      <c r="A36" t="s">
        <v>107</v>
      </c>
      <c r="B36">
        <f t="shared" si="5"/>
        <v>52347.400000000031</v>
      </c>
      <c r="C36">
        <f t="shared" si="0"/>
        <v>50485.03</v>
      </c>
      <c r="D36" s="5">
        <f t="shared" si="1"/>
        <v>48478.321922337025</v>
      </c>
      <c r="E36" s="5">
        <f t="shared" si="2"/>
        <v>75445.411922337124</v>
      </c>
      <c r="F36">
        <f t="shared" si="3"/>
        <v>159329.1</v>
      </c>
      <c r="G36">
        <f t="shared" si="4"/>
        <v>62537.900000000038</v>
      </c>
    </row>
    <row r="37" spans="1:7" x14ac:dyDescent="0.3">
      <c r="A37" t="s">
        <v>108</v>
      </c>
      <c r="B37">
        <f t="shared" si="5"/>
        <v>54088.980000000032</v>
      </c>
      <c r="C37">
        <f t="shared" si="0"/>
        <v>51517.34</v>
      </c>
      <c r="D37" s="5">
        <f t="shared" si="1"/>
        <v>48918.891922337025</v>
      </c>
      <c r="E37" s="5">
        <f t="shared" si="2"/>
        <v>75885.981922337131</v>
      </c>
      <c r="F37">
        <f t="shared" si="3"/>
        <v>164560.07</v>
      </c>
      <c r="G37">
        <f t="shared" si="4"/>
        <v>63757.630000000041</v>
      </c>
    </row>
    <row r="38" spans="1:7" x14ac:dyDescent="0.3">
      <c r="A38" t="s">
        <v>109</v>
      </c>
      <c r="B38">
        <f t="shared" si="5"/>
        <v>55830.560000000034</v>
      </c>
      <c r="C38">
        <f t="shared" si="0"/>
        <v>52549.649999999994</v>
      </c>
      <c r="D38" s="5">
        <f t="shared" si="1"/>
        <v>49359.461922337025</v>
      </c>
      <c r="E38" s="5">
        <f t="shared" si="2"/>
        <v>76326.551922337138</v>
      </c>
      <c r="F38">
        <f t="shared" si="3"/>
        <v>169791.04</v>
      </c>
      <c r="G38">
        <f t="shared" si="4"/>
        <v>64977.360000000044</v>
      </c>
    </row>
    <row r="39" spans="1:7" x14ac:dyDescent="0.3">
      <c r="A39" t="s">
        <v>110</v>
      </c>
      <c r="B39">
        <f t="shared" si="5"/>
        <v>57572.140000000036</v>
      </c>
      <c r="C39">
        <f t="shared" si="0"/>
        <v>53581.959999999992</v>
      </c>
      <c r="D39" s="5">
        <f t="shared" si="1"/>
        <v>49800.031922337024</v>
      </c>
      <c r="E39" s="5">
        <f t="shared" si="2"/>
        <v>76767.121922337144</v>
      </c>
      <c r="F39">
        <f t="shared" si="3"/>
        <v>175022.01</v>
      </c>
      <c r="G39">
        <f t="shared" si="4"/>
        <v>66197.09000000004</v>
      </c>
    </row>
    <row r="40" spans="1:7" x14ac:dyDescent="0.3">
      <c r="A40" t="s">
        <v>111</v>
      </c>
      <c r="B40">
        <f t="shared" si="5"/>
        <v>59313.720000000038</v>
      </c>
      <c r="C40">
        <f t="shared" si="0"/>
        <v>54614.26999999999</v>
      </c>
      <c r="D40" s="5">
        <f t="shared" si="1"/>
        <v>50240.601922337024</v>
      </c>
      <c r="E40" s="5">
        <f t="shared" si="2"/>
        <v>77207.691922337151</v>
      </c>
      <c r="F40">
        <f t="shared" si="3"/>
        <v>180252.98</v>
      </c>
      <c r="G40">
        <f t="shared" si="4"/>
        <v>67416.820000000036</v>
      </c>
    </row>
    <row r="41" spans="1:7" x14ac:dyDescent="0.3">
      <c r="A41" t="s">
        <v>112</v>
      </c>
      <c r="B41">
        <f t="shared" si="5"/>
        <v>61055.300000000039</v>
      </c>
      <c r="C41">
        <f t="shared" si="0"/>
        <v>55646.579999999987</v>
      </c>
      <c r="D41" s="5">
        <f t="shared" si="1"/>
        <v>50681.171922337024</v>
      </c>
      <c r="E41" s="5">
        <f t="shared" si="2"/>
        <v>77648.261922337158</v>
      </c>
      <c r="F41">
        <f t="shared" si="3"/>
        <v>185483.95</v>
      </c>
      <c r="G41">
        <f t="shared" si="4"/>
        <v>68636.550000000032</v>
      </c>
    </row>
    <row r="42" spans="1:7" x14ac:dyDescent="0.3">
      <c r="A42" t="s">
        <v>113</v>
      </c>
      <c r="B42">
        <f t="shared" si="5"/>
        <v>62796.880000000041</v>
      </c>
      <c r="C42">
        <f t="shared" si="0"/>
        <v>56678.889999999985</v>
      </c>
      <c r="D42" s="5">
        <f t="shared" si="1"/>
        <v>51121.741922337023</v>
      </c>
      <c r="E42" s="5">
        <f t="shared" si="2"/>
        <v>78088.831922337165</v>
      </c>
      <c r="F42">
        <f t="shared" si="3"/>
        <v>190714.92</v>
      </c>
      <c r="G42">
        <f t="shared" si="4"/>
        <v>69856.280000000028</v>
      </c>
    </row>
    <row r="43" spans="1:7" x14ac:dyDescent="0.3">
      <c r="A43" t="s">
        <v>114</v>
      </c>
      <c r="B43">
        <f t="shared" si="5"/>
        <v>64538.460000000043</v>
      </c>
      <c r="C43">
        <f t="shared" si="0"/>
        <v>57711.199999999983</v>
      </c>
      <c r="D43" s="5">
        <f t="shared" si="1"/>
        <v>51562.311922337023</v>
      </c>
      <c r="E43" s="5">
        <f t="shared" si="2"/>
        <v>78529.401922337172</v>
      </c>
      <c r="F43">
        <f t="shared" si="3"/>
        <v>195945.89</v>
      </c>
      <c r="G43">
        <f t="shared" si="4"/>
        <v>71076.010000000024</v>
      </c>
    </row>
    <row r="44" spans="1:7" x14ac:dyDescent="0.3">
      <c r="A44" t="s">
        <v>115</v>
      </c>
      <c r="B44">
        <f t="shared" si="5"/>
        <v>66280.040000000037</v>
      </c>
      <c r="C44">
        <f t="shared" si="0"/>
        <v>58743.50999999998</v>
      </c>
      <c r="D44" s="5">
        <f t="shared" si="1"/>
        <v>52002.881922337023</v>
      </c>
      <c r="E44" s="5">
        <f t="shared" si="2"/>
        <v>78969.971922337179</v>
      </c>
      <c r="F44">
        <f t="shared" si="3"/>
        <v>201176.86000000002</v>
      </c>
      <c r="G44">
        <f t="shared" si="4"/>
        <v>72295.74000000002</v>
      </c>
    </row>
    <row r="45" spans="1:7" x14ac:dyDescent="0.3">
      <c r="A45" t="s">
        <v>116</v>
      </c>
      <c r="B45">
        <f t="shared" si="5"/>
        <v>68021.620000000039</v>
      </c>
      <c r="C45">
        <f t="shared" si="0"/>
        <v>59775.819999999978</v>
      </c>
      <c r="D45" s="5">
        <f t="shared" si="1"/>
        <v>52443.451922337023</v>
      </c>
      <c r="E45" s="5">
        <f t="shared" si="2"/>
        <v>79410.541922337186</v>
      </c>
      <c r="F45">
        <f t="shared" si="3"/>
        <v>206407.83000000002</v>
      </c>
      <c r="G45">
        <f t="shared" si="4"/>
        <v>73515.470000000016</v>
      </c>
    </row>
    <row r="46" spans="1:7" x14ac:dyDescent="0.3">
      <c r="A46" t="s">
        <v>117</v>
      </c>
      <c r="B46">
        <f t="shared" si="5"/>
        <v>69763.200000000041</v>
      </c>
      <c r="C46">
        <f t="shared" si="0"/>
        <v>60808.129999999976</v>
      </c>
      <c r="D46" s="5">
        <f t="shared" si="1"/>
        <v>52884.021922337022</v>
      </c>
      <c r="E46" s="5">
        <f t="shared" si="2"/>
        <v>79851.111922337193</v>
      </c>
      <c r="F46">
        <f t="shared" si="3"/>
        <v>211638.80000000002</v>
      </c>
      <c r="G46">
        <f t="shared" si="4"/>
        <v>74735.200000000012</v>
      </c>
    </row>
    <row r="47" spans="1:7" x14ac:dyDescent="0.3">
      <c r="A47" t="s">
        <v>118</v>
      </c>
      <c r="B47">
        <f t="shared" si="5"/>
        <v>71504.780000000042</v>
      </c>
      <c r="C47">
        <f t="shared" si="0"/>
        <v>61840.439999999973</v>
      </c>
      <c r="D47" s="5">
        <f t="shared" si="1"/>
        <v>53324.591922337022</v>
      </c>
      <c r="E47" s="5">
        <f t="shared" si="2"/>
        <v>80291.6819223372</v>
      </c>
      <c r="F47">
        <f t="shared" si="3"/>
        <v>216869.77000000002</v>
      </c>
      <c r="G47">
        <f t="shared" si="4"/>
        <v>75954.930000000008</v>
      </c>
    </row>
    <row r="48" spans="1:7" x14ac:dyDescent="0.3">
      <c r="A48" t="s">
        <v>119</v>
      </c>
      <c r="B48">
        <f t="shared" si="5"/>
        <v>73246.360000000044</v>
      </c>
      <c r="C48">
        <f t="shared" si="0"/>
        <v>62872.749999999971</v>
      </c>
      <c r="D48" s="5">
        <f t="shared" si="1"/>
        <v>53765.161922337022</v>
      </c>
      <c r="E48" s="5">
        <f t="shared" si="2"/>
        <v>80732.251922337207</v>
      </c>
      <c r="F48">
        <f t="shared" si="3"/>
        <v>222100.74000000002</v>
      </c>
      <c r="G48">
        <f t="shared" si="4"/>
        <v>77174.66</v>
      </c>
    </row>
    <row r="49" spans="1:7" x14ac:dyDescent="0.3">
      <c r="A49" t="s">
        <v>120</v>
      </c>
      <c r="B49">
        <f t="shared" si="5"/>
        <v>74987.940000000046</v>
      </c>
      <c r="C49">
        <f t="shared" si="0"/>
        <v>63905.059999999969</v>
      </c>
      <c r="D49" s="5">
        <f t="shared" si="1"/>
        <v>54205.731922337021</v>
      </c>
      <c r="E49" s="5">
        <f t="shared" si="2"/>
        <v>81172.821922337214</v>
      </c>
      <c r="F49">
        <f t="shared" si="3"/>
        <v>227331.71000000002</v>
      </c>
      <c r="G49">
        <f t="shared" si="4"/>
        <v>78394.39</v>
      </c>
    </row>
    <row r="50" spans="1:7" x14ac:dyDescent="0.3">
      <c r="A50" t="s">
        <v>121</v>
      </c>
      <c r="B50">
        <f t="shared" si="5"/>
        <v>76729.520000000048</v>
      </c>
      <c r="C50">
        <f t="shared" si="0"/>
        <v>64937.369999999966</v>
      </c>
      <c r="D50" s="5">
        <f t="shared" si="1"/>
        <v>54646.301922337021</v>
      </c>
      <c r="E50" s="5">
        <f t="shared" si="2"/>
        <v>81613.391922337221</v>
      </c>
      <c r="F50">
        <f t="shared" si="3"/>
        <v>232562.68000000002</v>
      </c>
      <c r="G50">
        <f t="shared" si="4"/>
        <v>79614.12</v>
      </c>
    </row>
    <row r="51" spans="1:7" x14ac:dyDescent="0.3">
      <c r="A51" t="s">
        <v>122</v>
      </c>
      <c r="B51">
        <f t="shared" si="5"/>
        <v>78471.100000000049</v>
      </c>
      <c r="C51">
        <f t="shared" si="0"/>
        <v>65969.679999999964</v>
      </c>
      <c r="D51" s="5">
        <f t="shared" si="1"/>
        <v>55086.871922337021</v>
      </c>
      <c r="E51" s="5">
        <f t="shared" si="2"/>
        <v>82053.961922337228</v>
      </c>
      <c r="F51">
        <f t="shared" si="3"/>
        <v>237793.65000000002</v>
      </c>
      <c r="G51">
        <f t="shared" si="4"/>
        <v>80833.849999999991</v>
      </c>
    </row>
    <row r="52" spans="1:7" x14ac:dyDescent="0.3">
      <c r="A52" t="s">
        <v>123</v>
      </c>
      <c r="B52">
        <f t="shared" si="5"/>
        <v>80212.680000000051</v>
      </c>
      <c r="C52">
        <f t="shared" si="0"/>
        <v>67001.989999999962</v>
      </c>
      <c r="D52" s="5">
        <f t="shared" si="1"/>
        <v>55527.441922337021</v>
      </c>
      <c r="E52" s="5">
        <f t="shared" si="2"/>
        <v>82494.531922337235</v>
      </c>
      <c r="F52">
        <f t="shared" si="3"/>
        <v>243024.62000000002</v>
      </c>
      <c r="G52">
        <f t="shared" si="4"/>
        <v>82053.579999999987</v>
      </c>
    </row>
    <row r="53" spans="1:7" x14ac:dyDescent="0.3">
      <c r="A53" t="s">
        <v>124</v>
      </c>
      <c r="B53">
        <f t="shared" si="5"/>
        <v>81954.260000000053</v>
      </c>
      <c r="C53">
        <f t="shared" si="0"/>
        <v>68034.299999999959</v>
      </c>
      <c r="D53" s="5">
        <f t="shared" si="1"/>
        <v>55968.01192233702</v>
      </c>
      <c r="E53" s="5">
        <f t="shared" si="2"/>
        <v>82935.101922337242</v>
      </c>
      <c r="F53">
        <f t="shared" si="3"/>
        <v>248255.59000000003</v>
      </c>
      <c r="G53">
        <f t="shared" si="4"/>
        <v>83273.309999999983</v>
      </c>
    </row>
    <row r="54" spans="1:7" x14ac:dyDescent="0.3">
      <c r="A54" t="s">
        <v>125</v>
      </c>
      <c r="B54">
        <f t="shared" si="5"/>
        <v>83695.840000000055</v>
      </c>
      <c r="C54">
        <f t="shared" si="0"/>
        <v>69066.609999999957</v>
      </c>
      <c r="D54" s="5">
        <f t="shared" si="1"/>
        <v>56408.58192233702</v>
      </c>
      <c r="E54" s="5">
        <f t="shared" si="2"/>
        <v>83375.671922337249</v>
      </c>
      <c r="F54">
        <f t="shared" si="3"/>
        <v>253486.56000000003</v>
      </c>
      <c r="G54">
        <f t="shared" si="4"/>
        <v>84493.039999999979</v>
      </c>
    </row>
    <row r="55" spans="1:7" x14ac:dyDescent="0.3">
      <c r="A55" t="s">
        <v>126</v>
      </c>
      <c r="B55">
        <f t="shared" si="5"/>
        <v>85437.420000000056</v>
      </c>
      <c r="C55">
        <f t="shared" si="0"/>
        <v>70098.919999999955</v>
      </c>
      <c r="D55" s="5">
        <f t="shared" si="1"/>
        <v>56849.15192233702</v>
      </c>
      <c r="E55" s="5">
        <f t="shared" si="2"/>
        <v>83816.241922337256</v>
      </c>
      <c r="F55">
        <f t="shared" si="3"/>
        <v>258717.53000000003</v>
      </c>
      <c r="G55">
        <f t="shared" si="4"/>
        <v>85712.769999999975</v>
      </c>
    </row>
    <row r="56" spans="1:7" x14ac:dyDescent="0.3">
      <c r="A56" t="s">
        <v>127</v>
      </c>
      <c r="B56">
        <f>B55+1741.58</f>
        <v>87179.000000000058</v>
      </c>
      <c r="C56">
        <f>C55+1032.31+8629</f>
        <v>79760.229999999952</v>
      </c>
      <c r="D56" s="5">
        <f>D55+440.57+3505</f>
        <v>60794.721922337019</v>
      </c>
      <c r="E56" s="5">
        <f>E55+440.57+3505</f>
        <v>87761.811922337263</v>
      </c>
      <c r="F56">
        <f>F55+5230.97+1200</f>
        <v>265148.5</v>
      </c>
      <c r="G56">
        <f>G55+1219.73+12973</f>
        <v>99905.499999999971</v>
      </c>
    </row>
    <row r="57" spans="1:7" x14ac:dyDescent="0.3">
      <c r="A57" t="s">
        <v>128</v>
      </c>
      <c r="B57">
        <f t="shared" si="5"/>
        <v>88920.58000000006</v>
      </c>
      <c r="C57">
        <f t="shared" si="0"/>
        <v>80792.53999999995</v>
      </c>
      <c r="D57" s="5">
        <f t="shared" si="1"/>
        <v>61235.291922337019</v>
      </c>
      <c r="E57" s="5">
        <f t="shared" si="2"/>
        <v>88202.38192233727</v>
      </c>
      <c r="F57">
        <f t="shared" si="3"/>
        <v>270379.46999999997</v>
      </c>
      <c r="G57">
        <f t="shared" si="4"/>
        <v>101125.22999999997</v>
      </c>
    </row>
    <row r="58" spans="1:7" x14ac:dyDescent="0.3">
      <c r="A58" t="s">
        <v>129</v>
      </c>
      <c r="B58">
        <f t="shared" si="5"/>
        <v>90662.160000000062</v>
      </c>
      <c r="C58">
        <f t="shared" si="0"/>
        <v>81824.849999999948</v>
      </c>
      <c r="D58" s="5">
        <f t="shared" si="1"/>
        <v>61675.861922337019</v>
      </c>
      <c r="E58" s="5">
        <f t="shared" si="2"/>
        <v>88642.951922337277</v>
      </c>
      <c r="F58">
        <f t="shared" si="3"/>
        <v>275610.43999999994</v>
      </c>
      <c r="G58">
        <f t="shared" si="4"/>
        <v>102344.95999999996</v>
      </c>
    </row>
    <row r="59" spans="1:7" x14ac:dyDescent="0.3">
      <c r="A59" t="s">
        <v>130</v>
      </c>
      <c r="B59">
        <f t="shared" si="5"/>
        <v>92403.740000000063</v>
      </c>
      <c r="C59">
        <f t="shared" si="0"/>
        <v>82857.159999999945</v>
      </c>
      <c r="D59" s="5">
        <f t="shared" si="1"/>
        <v>62116.431922337018</v>
      </c>
      <c r="E59" s="5">
        <f t="shared" si="2"/>
        <v>89083.521922337284</v>
      </c>
      <c r="F59">
        <f t="shared" si="3"/>
        <v>280841.40999999992</v>
      </c>
      <c r="G59">
        <f t="shared" si="4"/>
        <v>103564.68999999996</v>
      </c>
    </row>
    <row r="60" spans="1:7" x14ac:dyDescent="0.3">
      <c r="A60" t="s">
        <v>131</v>
      </c>
      <c r="B60">
        <f t="shared" si="5"/>
        <v>94145.320000000065</v>
      </c>
      <c r="C60">
        <f t="shared" si="0"/>
        <v>83889.469999999943</v>
      </c>
      <c r="D60" s="5">
        <f t="shared" si="1"/>
        <v>62557.001922337018</v>
      </c>
      <c r="E60" s="5">
        <f t="shared" si="2"/>
        <v>89524.091922337291</v>
      </c>
      <c r="F60">
        <f t="shared" si="3"/>
        <v>286072.37999999989</v>
      </c>
      <c r="G60">
        <f t="shared" si="4"/>
        <v>104784.41999999995</v>
      </c>
    </row>
    <row r="61" spans="1:7" x14ac:dyDescent="0.3">
      <c r="A61" t="s">
        <v>132</v>
      </c>
      <c r="B61">
        <f t="shared" si="5"/>
        <v>95886.900000000067</v>
      </c>
      <c r="C61">
        <f t="shared" si="0"/>
        <v>84921.779999999941</v>
      </c>
      <c r="D61" s="5">
        <f t="shared" si="1"/>
        <v>62997.571922337018</v>
      </c>
      <c r="E61" s="5">
        <f t="shared" si="2"/>
        <v>89964.661922337298</v>
      </c>
      <c r="F61">
        <f t="shared" si="3"/>
        <v>291303.34999999986</v>
      </c>
      <c r="G61">
        <f t="shared" si="4"/>
        <v>106004.14999999995</v>
      </c>
    </row>
    <row r="62" spans="1:7" x14ac:dyDescent="0.3">
      <c r="A62" t="s">
        <v>133</v>
      </c>
      <c r="B62">
        <f t="shared" si="5"/>
        <v>97628.480000000069</v>
      </c>
      <c r="C62">
        <f t="shared" si="0"/>
        <v>85954.089999999938</v>
      </c>
      <c r="D62" s="5">
        <f t="shared" si="1"/>
        <v>63438.141922337018</v>
      </c>
      <c r="E62" s="5">
        <f t="shared" si="2"/>
        <v>90405.231922337305</v>
      </c>
      <c r="F62">
        <f t="shared" si="3"/>
        <v>296534.31999999983</v>
      </c>
      <c r="G62">
        <f t="shared" si="4"/>
        <v>107223.87999999995</v>
      </c>
    </row>
    <row r="63" spans="1:7" x14ac:dyDescent="0.3">
      <c r="A63" t="s">
        <v>134</v>
      </c>
      <c r="B63">
        <f t="shared" si="5"/>
        <v>99370.06000000007</v>
      </c>
      <c r="C63">
        <f t="shared" si="0"/>
        <v>86986.399999999936</v>
      </c>
      <c r="D63" s="5">
        <f t="shared" si="1"/>
        <v>63878.711922337017</v>
      </c>
      <c r="E63" s="5">
        <f t="shared" si="2"/>
        <v>90845.801922337312</v>
      </c>
      <c r="F63">
        <f t="shared" si="3"/>
        <v>301765.2899999998</v>
      </c>
      <c r="G63">
        <f t="shared" si="4"/>
        <v>108443.60999999994</v>
      </c>
    </row>
    <row r="64" spans="1:7" x14ac:dyDescent="0.3">
      <c r="A64" t="s">
        <v>135</v>
      </c>
      <c r="B64">
        <f t="shared" si="5"/>
        <v>101111.64000000007</v>
      </c>
      <c r="C64">
        <f t="shared" si="0"/>
        <v>88018.709999999934</v>
      </c>
      <c r="D64" s="5">
        <f t="shared" si="1"/>
        <v>64319.281922337017</v>
      </c>
      <c r="E64" s="5">
        <f t="shared" si="2"/>
        <v>91286.371922337319</v>
      </c>
      <c r="F64">
        <f t="shared" si="3"/>
        <v>306996.25999999978</v>
      </c>
      <c r="G64">
        <f t="shared" si="4"/>
        <v>109663.33999999994</v>
      </c>
    </row>
    <row r="65" spans="1:7" x14ac:dyDescent="0.3">
      <c r="A65" t="s">
        <v>136</v>
      </c>
      <c r="B65">
        <f t="shared" si="5"/>
        <v>102853.22000000007</v>
      </c>
      <c r="C65">
        <f t="shared" si="0"/>
        <v>89051.019999999931</v>
      </c>
      <c r="D65" s="5">
        <f t="shared" si="1"/>
        <v>64759.851922337017</v>
      </c>
      <c r="E65" s="5">
        <f t="shared" si="2"/>
        <v>91726.941922337326</v>
      </c>
      <c r="F65">
        <f t="shared" si="3"/>
        <v>312227.22999999975</v>
      </c>
      <c r="G65">
        <f t="shared" si="4"/>
        <v>110883.06999999993</v>
      </c>
    </row>
    <row r="66" spans="1:7" x14ac:dyDescent="0.3">
      <c r="A66" t="s">
        <v>137</v>
      </c>
      <c r="B66">
        <f t="shared" si="5"/>
        <v>104594.80000000008</v>
      </c>
      <c r="C66">
        <f t="shared" si="0"/>
        <v>90083.329999999929</v>
      </c>
      <c r="D66" s="5">
        <f t="shared" si="1"/>
        <v>65200.421922337016</v>
      </c>
      <c r="E66" s="5">
        <f t="shared" si="2"/>
        <v>92167.511922337333</v>
      </c>
      <c r="F66">
        <f t="shared" si="3"/>
        <v>317458.19999999972</v>
      </c>
      <c r="G66">
        <f t="shared" si="4"/>
        <v>112102.79999999993</v>
      </c>
    </row>
    <row r="67" spans="1:7" x14ac:dyDescent="0.3">
      <c r="A67" t="s">
        <v>138</v>
      </c>
      <c r="B67">
        <f t="shared" si="5"/>
        <v>106336.38000000008</v>
      </c>
      <c r="C67">
        <f t="shared" si="0"/>
        <v>91115.639999999927</v>
      </c>
      <c r="D67" s="5">
        <f t="shared" si="1"/>
        <v>65640.991922337023</v>
      </c>
      <c r="E67" s="5">
        <f t="shared" si="2"/>
        <v>92608.08192233734</v>
      </c>
      <c r="F67">
        <f t="shared" si="3"/>
        <v>322689.16999999969</v>
      </c>
      <c r="G67">
        <f t="shared" si="4"/>
        <v>113322.52999999993</v>
      </c>
    </row>
    <row r="68" spans="1:7" x14ac:dyDescent="0.3">
      <c r="A68" t="s">
        <v>139</v>
      </c>
      <c r="B68">
        <f t="shared" si="5"/>
        <v>108077.96000000008</v>
      </c>
      <c r="C68">
        <f t="shared" si="0"/>
        <v>92147.949999999924</v>
      </c>
      <c r="D68" s="5">
        <f t="shared" si="1"/>
        <v>66081.56192233703</v>
      </c>
      <c r="E68" s="5">
        <f t="shared" si="2"/>
        <v>93048.651922337347</v>
      </c>
      <c r="F68">
        <f t="shared" si="3"/>
        <v>327920.13999999966</v>
      </c>
      <c r="G68">
        <f t="shared" si="4"/>
        <v>114542.25999999992</v>
      </c>
    </row>
    <row r="69" spans="1:7" x14ac:dyDescent="0.3">
      <c r="A69" t="s">
        <v>140</v>
      </c>
      <c r="B69">
        <f t="shared" si="5"/>
        <v>109819.54000000008</v>
      </c>
      <c r="C69">
        <f t="shared" si="0"/>
        <v>93180.259999999922</v>
      </c>
      <c r="D69" s="5">
        <f t="shared" si="1"/>
        <v>66522.131922337037</v>
      </c>
      <c r="E69" s="5">
        <f t="shared" si="2"/>
        <v>93489.221922337354</v>
      </c>
      <c r="F69">
        <f t="shared" si="3"/>
        <v>333151.10999999964</v>
      </c>
      <c r="G69">
        <f t="shared" si="4"/>
        <v>115761.98999999992</v>
      </c>
    </row>
    <row r="70" spans="1:7" x14ac:dyDescent="0.3">
      <c r="A70" t="s">
        <v>141</v>
      </c>
      <c r="B70">
        <f t="shared" si="5"/>
        <v>111561.12000000008</v>
      </c>
      <c r="C70">
        <f t="shared" si="0"/>
        <v>94212.56999999992</v>
      </c>
      <c r="D70" s="5">
        <f t="shared" si="1"/>
        <v>66962.701922337044</v>
      </c>
      <c r="E70" s="5">
        <f t="shared" si="2"/>
        <v>93929.791922337361</v>
      </c>
      <c r="F70">
        <f t="shared" si="3"/>
        <v>338382.07999999961</v>
      </c>
      <c r="G70">
        <f t="shared" si="4"/>
        <v>116981.71999999991</v>
      </c>
    </row>
    <row r="71" spans="1:7" x14ac:dyDescent="0.3">
      <c r="A71" t="s">
        <v>142</v>
      </c>
      <c r="B71">
        <f t="shared" si="5"/>
        <v>113302.70000000008</v>
      </c>
      <c r="C71">
        <f t="shared" si="0"/>
        <v>95244.879999999917</v>
      </c>
      <c r="D71" s="5">
        <f t="shared" si="1"/>
        <v>67403.271922337051</v>
      </c>
      <c r="E71" s="5">
        <f t="shared" si="2"/>
        <v>94370.361922337368</v>
      </c>
      <c r="F71">
        <f t="shared" si="3"/>
        <v>343613.04999999958</v>
      </c>
      <c r="G71">
        <f t="shared" si="4"/>
        <v>118201.44999999991</v>
      </c>
    </row>
    <row r="72" spans="1:7" x14ac:dyDescent="0.3">
      <c r="A72" t="s">
        <v>143</v>
      </c>
      <c r="B72">
        <f t="shared" si="5"/>
        <v>115044.28000000009</v>
      </c>
      <c r="C72">
        <f t="shared" ref="C72:C105" si="6">C71+1032.31</f>
        <v>96277.189999999915</v>
      </c>
      <c r="D72" s="5">
        <f t="shared" ref="D72:D106" si="7">D71+440.57</f>
        <v>67843.841922337058</v>
      </c>
      <c r="E72" s="5">
        <f t="shared" ref="E72:E106" si="8">E71+440.57</f>
        <v>94810.931922337375</v>
      </c>
      <c r="F72">
        <f t="shared" ref="F72:F106" si="9">F71+5230.97</f>
        <v>348844.01999999955</v>
      </c>
      <c r="G72">
        <f t="shared" ref="G72:G106" si="10">G71+1219.73</f>
        <v>119421.17999999991</v>
      </c>
    </row>
    <row r="73" spans="1:7" x14ac:dyDescent="0.3">
      <c r="A73" t="s">
        <v>144</v>
      </c>
      <c r="B73">
        <f t="shared" ref="B73:B106" si="11">B72+1741.58</f>
        <v>116785.86000000009</v>
      </c>
      <c r="C73">
        <f t="shared" si="6"/>
        <v>97309.499999999913</v>
      </c>
      <c r="D73" s="5">
        <f t="shared" si="7"/>
        <v>68284.411922337065</v>
      </c>
      <c r="E73" s="5">
        <f t="shared" si="8"/>
        <v>95251.501922337382</v>
      </c>
      <c r="F73">
        <f t="shared" si="9"/>
        <v>354074.98999999953</v>
      </c>
      <c r="G73">
        <f t="shared" si="10"/>
        <v>120640.9099999999</v>
      </c>
    </row>
    <row r="74" spans="1:7" x14ac:dyDescent="0.3">
      <c r="A74" t="s">
        <v>145</v>
      </c>
      <c r="B74">
        <f t="shared" si="11"/>
        <v>118527.44000000009</v>
      </c>
      <c r="C74">
        <f t="shared" si="6"/>
        <v>98341.80999999991</v>
      </c>
      <c r="D74" s="5">
        <f t="shared" si="7"/>
        <v>68724.981922337072</v>
      </c>
      <c r="E74" s="5">
        <f t="shared" si="8"/>
        <v>95692.071922337389</v>
      </c>
      <c r="F74">
        <f t="shared" si="9"/>
        <v>359305.9599999995</v>
      </c>
      <c r="G74">
        <f t="shared" si="10"/>
        <v>121860.6399999999</v>
      </c>
    </row>
    <row r="75" spans="1:7" x14ac:dyDescent="0.3">
      <c r="A75" t="s">
        <v>146</v>
      </c>
      <c r="B75">
        <f t="shared" si="11"/>
        <v>120269.02000000009</v>
      </c>
      <c r="C75">
        <f t="shared" si="6"/>
        <v>99374.119999999908</v>
      </c>
      <c r="D75" s="5">
        <f t="shared" si="7"/>
        <v>69165.551922337079</v>
      </c>
      <c r="E75" s="5">
        <f t="shared" si="8"/>
        <v>96132.641922337396</v>
      </c>
      <c r="F75">
        <f t="shared" si="9"/>
        <v>364536.92999999947</v>
      </c>
      <c r="G75">
        <f t="shared" si="10"/>
        <v>123080.36999999989</v>
      </c>
    </row>
    <row r="76" spans="1:7" x14ac:dyDescent="0.3">
      <c r="A76" t="s">
        <v>147</v>
      </c>
      <c r="B76">
        <f t="shared" si="11"/>
        <v>122010.60000000009</v>
      </c>
      <c r="C76">
        <f t="shared" si="6"/>
        <v>100406.42999999991</v>
      </c>
      <c r="D76" s="5">
        <f t="shared" si="7"/>
        <v>69606.121922337086</v>
      </c>
      <c r="E76" s="5">
        <f t="shared" si="8"/>
        <v>96573.211922337403</v>
      </c>
      <c r="F76">
        <f t="shared" si="9"/>
        <v>369767.89999999944</v>
      </c>
      <c r="G76">
        <f t="shared" si="10"/>
        <v>124300.09999999989</v>
      </c>
    </row>
    <row r="77" spans="1:7" x14ac:dyDescent="0.3">
      <c r="A77" t="s">
        <v>148</v>
      </c>
      <c r="B77">
        <f t="shared" si="11"/>
        <v>123752.18000000009</v>
      </c>
      <c r="C77">
        <f t="shared" si="6"/>
        <v>101438.7399999999</v>
      </c>
      <c r="D77" s="5">
        <f t="shared" si="7"/>
        <v>70046.691922337093</v>
      </c>
      <c r="E77" s="5">
        <f t="shared" si="8"/>
        <v>97013.78192233741</v>
      </c>
      <c r="F77">
        <f t="shared" si="9"/>
        <v>374998.86999999941</v>
      </c>
      <c r="G77">
        <f t="shared" si="10"/>
        <v>125519.82999999989</v>
      </c>
    </row>
    <row r="78" spans="1:7" x14ac:dyDescent="0.3">
      <c r="A78" t="s">
        <v>149</v>
      </c>
      <c r="B78">
        <f t="shared" si="11"/>
        <v>125493.7600000001</v>
      </c>
      <c r="C78">
        <f t="shared" si="6"/>
        <v>102471.0499999999</v>
      </c>
      <c r="D78" s="5">
        <f t="shared" si="7"/>
        <v>70487.2619223371</v>
      </c>
      <c r="E78" s="5">
        <f t="shared" si="8"/>
        <v>97454.351922337417</v>
      </c>
      <c r="F78">
        <f t="shared" si="9"/>
        <v>380229.83999999939</v>
      </c>
      <c r="G78">
        <f t="shared" si="10"/>
        <v>126739.55999999988</v>
      </c>
    </row>
    <row r="79" spans="1:7" x14ac:dyDescent="0.3">
      <c r="A79" t="s">
        <v>150</v>
      </c>
      <c r="B79">
        <f t="shared" si="11"/>
        <v>127235.3400000001</v>
      </c>
      <c r="C79">
        <f t="shared" si="6"/>
        <v>103503.3599999999</v>
      </c>
      <c r="D79" s="5">
        <f t="shared" si="7"/>
        <v>70927.831922337107</v>
      </c>
      <c r="E79" s="5">
        <f t="shared" si="8"/>
        <v>97894.921922337424</v>
      </c>
      <c r="F79">
        <f t="shared" si="9"/>
        <v>385460.80999999936</v>
      </c>
      <c r="G79">
        <f t="shared" si="10"/>
        <v>127959.28999999988</v>
      </c>
    </row>
    <row r="80" spans="1:7" x14ac:dyDescent="0.3">
      <c r="A80" t="s">
        <v>151</v>
      </c>
      <c r="B80">
        <f t="shared" si="11"/>
        <v>128976.9200000001</v>
      </c>
      <c r="C80">
        <f t="shared" si="6"/>
        <v>104535.6699999999</v>
      </c>
      <c r="D80" s="5">
        <f t="shared" si="7"/>
        <v>71368.401922337114</v>
      </c>
      <c r="E80" s="5">
        <f t="shared" si="8"/>
        <v>98335.491922337431</v>
      </c>
      <c r="F80">
        <f t="shared" si="9"/>
        <v>390691.77999999933</v>
      </c>
      <c r="G80">
        <f t="shared" si="10"/>
        <v>129179.01999999987</v>
      </c>
    </row>
    <row r="81" spans="1:7" x14ac:dyDescent="0.3">
      <c r="A81" t="s">
        <v>152</v>
      </c>
      <c r="B81">
        <f>B80+1741.58</f>
        <v>130718.5000000001</v>
      </c>
      <c r="C81">
        <f>C80+1032.31+8629</f>
        <v>114196.97999999989</v>
      </c>
      <c r="D81" s="5">
        <f>D80+440.57+3505</f>
        <v>75313.971922337121</v>
      </c>
      <c r="E81" s="5">
        <f>E80+440.57+3505</f>
        <v>102281.06192233744</v>
      </c>
      <c r="F81">
        <f>F80+5230.97+1200</f>
        <v>397122.7499999993</v>
      </c>
      <c r="G81">
        <f>G80+1219.73+12973</f>
        <v>143371.74999999988</v>
      </c>
    </row>
    <row r="82" spans="1:7" x14ac:dyDescent="0.3">
      <c r="A82" t="s">
        <v>153</v>
      </c>
      <c r="B82">
        <f t="shared" si="11"/>
        <v>132460.0800000001</v>
      </c>
      <c r="C82">
        <f>C81+1032.31</f>
        <v>115229.28999999989</v>
      </c>
      <c r="D82" s="5">
        <f t="shared" si="7"/>
        <v>75754.541922337128</v>
      </c>
      <c r="E82" s="5">
        <f t="shared" si="8"/>
        <v>102721.63192233744</v>
      </c>
      <c r="F82">
        <f t="shared" si="9"/>
        <v>402353.71999999927</v>
      </c>
      <c r="G82">
        <f t="shared" si="10"/>
        <v>144591.47999999989</v>
      </c>
    </row>
    <row r="83" spans="1:7" x14ac:dyDescent="0.3">
      <c r="A83" t="s">
        <v>154</v>
      </c>
      <c r="B83">
        <f t="shared" si="11"/>
        <v>134201.66000000009</v>
      </c>
      <c r="C83">
        <f t="shared" si="6"/>
        <v>116261.59999999989</v>
      </c>
      <c r="D83" s="5">
        <f t="shared" si="7"/>
        <v>76195.111922337135</v>
      </c>
      <c r="E83" s="5">
        <f t="shared" si="8"/>
        <v>103162.20192233745</v>
      </c>
      <c r="F83">
        <f t="shared" si="9"/>
        <v>407584.68999999925</v>
      </c>
      <c r="G83">
        <f t="shared" si="10"/>
        <v>145811.2099999999</v>
      </c>
    </row>
    <row r="84" spans="1:7" x14ac:dyDescent="0.3">
      <c r="A84" t="s">
        <v>155</v>
      </c>
      <c r="B84">
        <f t="shared" si="11"/>
        <v>135943.24000000008</v>
      </c>
      <c r="C84">
        <f t="shared" si="6"/>
        <v>117293.90999999989</v>
      </c>
      <c r="D84" s="5">
        <f t="shared" si="7"/>
        <v>76635.681922337142</v>
      </c>
      <c r="E84" s="5">
        <f t="shared" si="8"/>
        <v>103602.77192233746</v>
      </c>
      <c r="F84">
        <f t="shared" si="9"/>
        <v>412815.65999999922</v>
      </c>
      <c r="G84">
        <f t="shared" si="10"/>
        <v>147030.93999999992</v>
      </c>
    </row>
    <row r="85" spans="1:7" x14ac:dyDescent="0.3">
      <c r="A85" t="s">
        <v>156</v>
      </c>
      <c r="B85">
        <f t="shared" si="11"/>
        <v>137684.82000000007</v>
      </c>
      <c r="C85">
        <f t="shared" si="6"/>
        <v>118326.21999999988</v>
      </c>
      <c r="D85" s="5">
        <f t="shared" si="7"/>
        <v>77076.251922337149</v>
      </c>
      <c r="E85" s="5">
        <f t="shared" si="8"/>
        <v>104043.34192233747</v>
      </c>
      <c r="F85">
        <f t="shared" si="9"/>
        <v>418046.62999999919</v>
      </c>
      <c r="G85">
        <f t="shared" si="10"/>
        <v>148250.66999999993</v>
      </c>
    </row>
    <row r="86" spans="1:7" x14ac:dyDescent="0.3">
      <c r="A86" t="s">
        <v>157</v>
      </c>
      <c r="B86">
        <f t="shared" si="11"/>
        <v>139426.40000000005</v>
      </c>
      <c r="C86">
        <f t="shared" si="6"/>
        <v>119358.52999999988</v>
      </c>
      <c r="D86" s="5">
        <f t="shared" si="7"/>
        <v>77516.821922337156</v>
      </c>
      <c r="E86" s="5">
        <f t="shared" si="8"/>
        <v>104483.91192233747</v>
      </c>
      <c r="F86">
        <f t="shared" si="9"/>
        <v>423277.59999999916</v>
      </c>
      <c r="G86">
        <f t="shared" si="10"/>
        <v>149470.39999999994</v>
      </c>
    </row>
    <row r="87" spans="1:7" x14ac:dyDescent="0.3">
      <c r="A87" t="s">
        <v>158</v>
      </c>
      <c r="B87">
        <f t="shared" si="11"/>
        <v>141167.98000000004</v>
      </c>
      <c r="C87">
        <f t="shared" si="6"/>
        <v>120390.83999999988</v>
      </c>
      <c r="D87" s="5">
        <f t="shared" si="7"/>
        <v>77957.391922337163</v>
      </c>
      <c r="E87" s="5">
        <f t="shared" si="8"/>
        <v>104924.48192233748</v>
      </c>
      <c r="F87">
        <f t="shared" si="9"/>
        <v>428508.56999999913</v>
      </c>
      <c r="G87">
        <f t="shared" si="10"/>
        <v>150690.12999999995</v>
      </c>
    </row>
    <row r="88" spans="1:7" x14ac:dyDescent="0.3">
      <c r="A88" t="s">
        <v>159</v>
      </c>
      <c r="B88">
        <f t="shared" si="11"/>
        <v>142909.56000000003</v>
      </c>
      <c r="C88">
        <f t="shared" si="6"/>
        <v>121423.14999999988</v>
      </c>
      <c r="D88" s="5">
        <f t="shared" si="7"/>
        <v>78397.96192233717</v>
      </c>
      <c r="E88" s="5">
        <f t="shared" si="8"/>
        <v>105365.05192233749</v>
      </c>
      <c r="F88">
        <f t="shared" si="9"/>
        <v>433739.53999999911</v>
      </c>
      <c r="G88">
        <f t="shared" si="10"/>
        <v>151909.85999999996</v>
      </c>
    </row>
    <row r="89" spans="1:7" x14ac:dyDescent="0.3">
      <c r="A89" t="s">
        <v>160</v>
      </c>
      <c r="B89">
        <f t="shared" si="11"/>
        <v>144651.14000000001</v>
      </c>
      <c r="C89">
        <f t="shared" si="6"/>
        <v>122455.45999999988</v>
      </c>
      <c r="D89" s="5">
        <f t="shared" si="7"/>
        <v>78838.531922337177</v>
      </c>
      <c r="E89" s="5">
        <f t="shared" si="8"/>
        <v>105805.62192233749</v>
      </c>
      <c r="F89">
        <f t="shared" si="9"/>
        <v>438970.50999999908</v>
      </c>
      <c r="G89">
        <f t="shared" si="10"/>
        <v>153129.58999999997</v>
      </c>
    </row>
    <row r="90" spans="1:7" x14ac:dyDescent="0.3">
      <c r="A90" t="s">
        <v>161</v>
      </c>
      <c r="B90">
        <f t="shared" si="11"/>
        <v>146392.72</v>
      </c>
      <c r="C90">
        <f t="shared" si="6"/>
        <v>123487.76999999987</v>
      </c>
      <c r="D90" s="5">
        <f t="shared" si="7"/>
        <v>79279.101922337184</v>
      </c>
      <c r="E90" s="5">
        <f t="shared" si="8"/>
        <v>106246.1919223375</v>
      </c>
      <c r="F90">
        <f t="shared" si="9"/>
        <v>444201.47999999905</v>
      </c>
      <c r="G90">
        <f t="shared" si="10"/>
        <v>154349.31999999998</v>
      </c>
    </row>
    <row r="91" spans="1:7" x14ac:dyDescent="0.3">
      <c r="A91" t="s">
        <v>162</v>
      </c>
      <c r="B91">
        <f t="shared" si="11"/>
        <v>148134.29999999999</v>
      </c>
      <c r="C91">
        <f t="shared" si="6"/>
        <v>124520.07999999987</v>
      </c>
      <c r="D91" s="5">
        <f t="shared" si="7"/>
        <v>79719.671922337191</v>
      </c>
      <c r="E91" s="5">
        <f t="shared" si="8"/>
        <v>106686.76192233751</v>
      </c>
      <c r="F91">
        <f t="shared" si="9"/>
        <v>449432.44999999902</v>
      </c>
      <c r="G91">
        <f t="shared" si="10"/>
        <v>155569.04999999999</v>
      </c>
    </row>
    <row r="92" spans="1:7" x14ac:dyDescent="0.3">
      <c r="A92" t="s">
        <v>163</v>
      </c>
      <c r="B92">
        <f t="shared" si="11"/>
        <v>149875.87999999998</v>
      </c>
      <c r="C92">
        <f t="shared" si="6"/>
        <v>125552.38999999987</v>
      </c>
      <c r="D92" s="5">
        <f t="shared" si="7"/>
        <v>80160.241922337198</v>
      </c>
      <c r="E92" s="5">
        <f t="shared" si="8"/>
        <v>107127.33192233751</v>
      </c>
      <c r="F92">
        <f t="shared" si="9"/>
        <v>454663.41999999899</v>
      </c>
      <c r="G92">
        <f t="shared" si="10"/>
        <v>156788.78</v>
      </c>
    </row>
    <row r="93" spans="1:7" x14ac:dyDescent="0.3">
      <c r="A93" t="s">
        <v>164</v>
      </c>
      <c r="B93">
        <f t="shared" si="11"/>
        <v>151617.45999999996</v>
      </c>
      <c r="C93">
        <f t="shared" si="6"/>
        <v>126584.69999999987</v>
      </c>
      <c r="D93" s="5">
        <f t="shared" si="7"/>
        <v>80600.811922337205</v>
      </c>
      <c r="E93" s="5">
        <f t="shared" si="8"/>
        <v>107567.90192233752</v>
      </c>
      <c r="F93">
        <f t="shared" si="9"/>
        <v>459894.38999999897</v>
      </c>
      <c r="G93">
        <f t="shared" si="10"/>
        <v>158008.51</v>
      </c>
    </row>
    <row r="94" spans="1:7" x14ac:dyDescent="0.3">
      <c r="A94" t="s">
        <v>165</v>
      </c>
      <c r="B94">
        <f t="shared" si="11"/>
        <v>153359.03999999995</v>
      </c>
      <c r="C94">
        <f t="shared" si="6"/>
        <v>127617.00999999986</v>
      </c>
      <c r="D94" s="5">
        <f t="shared" si="7"/>
        <v>81041.381922337212</v>
      </c>
      <c r="E94" s="5">
        <f t="shared" si="8"/>
        <v>108008.47192233753</v>
      </c>
      <c r="F94">
        <f t="shared" si="9"/>
        <v>465125.35999999894</v>
      </c>
      <c r="G94">
        <f t="shared" si="10"/>
        <v>159228.24000000002</v>
      </c>
    </row>
    <row r="95" spans="1:7" x14ac:dyDescent="0.3">
      <c r="A95" t="s">
        <v>166</v>
      </c>
      <c r="B95">
        <f t="shared" si="11"/>
        <v>155100.61999999994</v>
      </c>
      <c r="C95">
        <f t="shared" si="6"/>
        <v>128649.31999999986</v>
      </c>
      <c r="D95" s="5">
        <f t="shared" si="7"/>
        <v>81481.951922337219</v>
      </c>
      <c r="E95" s="5">
        <f t="shared" si="8"/>
        <v>108449.04192233754</v>
      </c>
      <c r="F95">
        <f t="shared" si="9"/>
        <v>470356.32999999891</v>
      </c>
      <c r="G95">
        <f t="shared" si="10"/>
        <v>160447.97000000003</v>
      </c>
    </row>
    <row r="96" spans="1:7" x14ac:dyDescent="0.3">
      <c r="A96" t="s">
        <v>167</v>
      </c>
      <c r="B96">
        <f t="shared" si="11"/>
        <v>156842.19999999992</v>
      </c>
      <c r="C96">
        <f t="shared" si="6"/>
        <v>129681.62999999986</v>
      </c>
      <c r="D96" s="5">
        <f t="shared" si="7"/>
        <v>81922.521922337226</v>
      </c>
      <c r="E96" s="5">
        <f t="shared" si="8"/>
        <v>108889.61192233754</v>
      </c>
      <c r="F96">
        <f t="shared" si="9"/>
        <v>475587.29999999888</v>
      </c>
      <c r="G96">
        <f t="shared" si="10"/>
        <v>161667.70000000004</v>
      </c>
    </row>
    <row r="97" spans="1:7" x14ac:dyDescent="0.3">
      <c r="A97" t="s">
        <v>168</v>
      </c>
      <c r="B97">
        <f t="shared" si="11"/>
        <v>158583.77999999991</v>
      </c>
      <c r="C97">
        <f t="shared" si="6"/>
        <v>130713.93999999986</v>
      </c>
      <c r="D97" s="5">
        <f t="shared" si="7"/>
        <v>82363.091922337233</v>
      </c>
      <c r="E97" s="5">
        <f t="shared" si="8"/>
        <v>109330.18192233755</v>
      </c>
      <c r="F97">
        <f t="shared" si="9"/>
        <v>480818.26999999885</v>
      </c>
      <c r="G97">
        <f t="shared" si="10"/>
        <v>162887.43000000005</v>
      </c>
    </row>
    <row r="98" spans="1:7" x14ac:dyDescent="0.3">
      <c r="A98" t="s">
        <v>169</v>
      </c>
      <c r="B98">
        <f t="shared" si="11"/>
        <v>160325.3599999999</v>
      </c>
      <c r="C98">
        <f t="shared" si="6"/>
        <v>131746.24999999985</v>
      </c>
      <c r="D98" s="5">
        <f t="shared" si="7"/>
        <v>82803.66192233724</v>
      </c>
      <c r="E98" s="5">
        <f t="shared" si="8"/>
        <v>109770.75192233756</v>
      </c>
      <c r="F98">
        <f t="shared" si="9"/>
        <v>486049.23999999883</v>
      </c>
      <c r="G98">
        <f t="shared" si="10"/>
        <v>164107.16000000006</v>
      </c>
    </row>
    <row r="99" spans="1:7" x14ac:dyDescent="0.3">
      <c r="A99" t="s">
        <v>170</v>
      </c>
      <c r="B99">
        <f t="shared" si="11"/>
        <v>162066.93999999989</v>
      </c>
      <c r="C99">
        <f t="shared" si="6"/>
        <v>132778.55999999985</v>
      </c>
      <c r="D99" s="5">
        <f t="shared" si="7"/>
        <v>83244.231922337247</v>
      </c>
      <c r="E99" s="5">
        <f t="shared" si="8"/>
        <v>110211.32192233756</v>
      </c>
      <c r="F99">
        <f t="shared" si="9"/>
        <v>491280.2099999988</v>
      </c>
      <c r="G99">
        <f t="shared" si="10"/>
        <v>165326.89000000007</v>
      </c>
    </row>
    <row r="100" spans="1:7" x14ac:dyDescent="0.3">
      <c r="A100" t="s">
        <v>171</v>
      </c>
      <c r="B100">
        <f t="shared" si="11"/>
        <v>163808.51999999987</v>
      </c>
      <c r="C100">
        <f t="shared" si="6"/>
        <v>133810.86999999985</v>
      </c>
      <c r="D100" s="5">
        <f t="shared" si="7"/>
        <v>83684.801922337254</v>
      </c>
      <c r="E100" s="5">
        <f t="shared" si="8"/>
        <v>110651.89192233757</v>
      </c>
      <c r="F100">
        <f t="shared" si="9"/>
        <v>496511.17999999877</v>
      </c>
      <c r="G100">
        <f t="shared" si="10"/>
        <v>166546.62000000008</v>
      </c>
    </row>
    <row r="101" spans="1:7" x14ac:dyDescent="0.3">
      <c r="A101" t="s">
        <v>172</v>
      </c>
      <c r="B101">
        <f t="shared" si="11"/>
        <v>165550.09999999986</v>
      </c>
      <c r="C101">
        <f t="shared" si="6"/>
        <v>134843.17999999985</v>
      </c>
      <c r="D101" s="5">
        <f t="shared" si="7"/>
        <v>84125.371922337261</v>
      </c>
      <c r="E101" s="5">
        <f t="shared" si="8"/>
        <v>111092.46192233758</v>
      </c>
      <c r="F101">
        <f t="shared" si="9"/>
        <v>501742.14999999874</v>
      </c>
      <c r="G101">
        <f t="shared" si="10"/>
        <v>167766.35000000009</v>
      </c>
    </row>
    <row r="102" spans="1:7" x14ac:dyDescent="0.3">
      <c r="A102" t="s">
        <v>173</v>
      </c>
      <c r="B102">
        <f t="shared" si="11"/>
        <v>167291.67999999985</v>
      </c>
      <c r="C102">
        <f t="shared" si="6"/>
        <v>135875.48999999985</v>
      </c>
      <c r="D102" s="5">
        <f t="shared" si="7"/>
        <v>84565.941922337268</v>
      </c>
      <c r="E102" s="5">
        <f t="shared" si="8"/>
        <v>111533.03192233758</v>
      </c>
      <c r="F102">
        <f t="shared" si="9"/>
        <v>506973.11999999871</v>
      </c>
      <c r="G102">
        <f t="shared" si="10"/>
        <v>168986.0800000001</v>
      </c>
    </row>
    <row r="103" spans="1:7" x14ac:dyDescent="0.3">
      <c r="A103" t="s">
        <v>174</v>
      </c>
      <c r="B103">
        <f t="shared" si="11"/>
        <v>169033.25999999983</v>
      </c>
      <c r="C103">
        <f t="shared" si="6"/>
        <v>136907.79999999984</v>
      </c>
      <c r="D103" s="5">
        <f t="shared" si="7"/>
        <v>85006.511922337275</v>
      </c>
      <c r="E103" s="5">
        <f t="shared" si="8"/>
        <v>111973.60192233759</v>
      </c>
      <c r="F103">
        <f t="shared" si="9"/>
        <v>512204.08999999869</v>
      </c>
      <c r="G103">
        <f t="shared" si="10"/>
        <v>170205.81000000011</v>
      </c>
    </row>
    <row r="104" spans="1:7" x14ac:dyDescent="0.3">
      <c r="A104" t="s">
        <v>175</v>
      </c>
      <c r="B104">
        <f t="shared" si="11"/>
        <v>170774.83999999982</v>
      </c>
      <c r="C104">
        <f t="shared" si="6"/>
        <v>137940.10999999984</v>
      </c>
      <c r="D104" s="5">
        <f t="shared" si="7"/>
        <v>85447.081922337282</v>
      </c>
      <c r="E104" s="5">
        <f t="shared" si="8"/>
        <v>112414.1719223376</v>
      </c>
      <c r="F104">
        <f t="shared" si="9"/>
        <v>517435.05999999866</v>
      </c>
      <c r="G104">
        <f t="shared" si="10"/>
        <v>171425.54000000012</v>
      </c>
    </row>
    <row r="105" spans="1:7" x14ac:dyDescent="0.3">
      <c r="A105" t="s">
        <v>176</v>
      </c>
      <c r="B105">
        <f t="shared" si="11"/>
        <v>172516.41999999981</v>
      </c>
      <c r="C105">
        <f t="shared" si="6"/>
        <v>138972.41999999984</v>
      </c>
      <c r="D105" s="5">
        <f t="shared" si="7"/>
        <v>85887.651922337289</v>
      </c>
      <c r="E105" s="5">
        <f t="shared" si="8"/>
        <v>112854.74192233761</v>
      </c>
      <c r="F105">
        <f t="shared" si="9"/>
        <v>522666.02999999863</v>
      </c>
      <c r="G105">
        <f t="shared" si="10"/>
        <v>172645.27000000014</v>
      </c>
    </row>
    <row r="106" spans="1:7" x14ac:dyDescent="0.3">
      <c r="A106" t="s">
        <v>177</v>
      </c>
      <c r="B106">
        <f t="shared" si="11"/>
        <v>174257.9999999998</v>
      </c>
      <c r="C106">
        <f>C105+1032.31</f>
        <v>140004.72999999984</v>
      </c>
      <c r="D106" s="5">
        <f t="shared" si="7"/>
        <v>86328.221922337296</v>
      </c>
      <c r="E106" s="5">
        <f t="shared" si="8"/>
        <v>113295.31192233761</v>
      </c>
      <c r="F106">
        <f t="shared" si="9"/>
        <v>527896.9999999986</v>
      </c>
      <c r="G106">
        <f t="shared" si="10"/>
        <v>173865.00000000015</v>
      </c>
    </row>
    <row r="111" spans="1:7" x14ac:dyDescent="0.3">
      <c r="A111" t="s">
        <v>181</v>
      </c>
      <c r="C111">
        <v>2257.73</v>
      </c>
      <c r="D111">
        <v>17738.22</v>
      </c>
      <c r="E111">
        <v>17738.22</v>
      </c>
    </row>
    <row r="112" spans="1:7" x14ac:dyDescent="0.3">
      <c r="A112" t="s">
        <v>182</v>
      </c>
      <c r="C112">
        <v>2900</v>
      </c>
      <c r="D112">
        <v>13410</v>
      </c>
      <c r="E112">
        <v>34072</v>
      </c>
    </row>
    <row r="113" spans="1:5" x14ac:dyDescent="0.3">
      <c r="A113" t="s">
        <v>183</v>
      </c>
      <c r="B113">
        <v>12973</v>
      </c>
      <c r="C113">
        <v>8629</v>
      </c>
      <c r="D113">
        <f>3505+608</f>
        <v>4113</v>
      </c>
      <c r="E113">
        <f>3505+608</f>
        <v>4113</v>
      </c>
    </row>
  </sheetData>
  <phoneticPr fontId="3" type="noConversion"/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1D7D0-00DB-474E-A248-AB9E3AE43887}">
  <dimension ref="B2:F5"/>
  <sheetViews>
    <sheetView tabSelected="1" workbookViewId="0">
      <selection activeCell="B2" sqref="B2:B5"/>
    </sheetView>
  </sheetViews>
  <sheetFormatPr defaultRowHeight="14.4" x14ac:dyDescent="0.3"/>
  <sheetData>
    <row r="2" spans="2:6" x14ac:dyDescent="0.3">
      <c r="B2" s="2"/>
      <c r="C2" s="2" t="s">
        <v>189</v>
      </c>
      <c r="D2" s="2" t="s">
        <v>191</v>
      </c>
      <c r="E2" s="2" t="s">
        <v>76</v>
      </c>
      <c r="F2" s="2" t="s">
        <v>77</v>
      </c>
    </row>
    <row r="3" spans="2:6" x14ac:dyDescent="0.3">
      <c r="B3" s="2" t="s">
        <v>181</v>
      </c>
      <c r="D3">
        <v>2257.73</v>
      </c>
      <c r="E3">
        <v>17738.22</v>
      </c>
      <c r="F3">
        <v>17738.22</v>
      </c>
    </row>
    <row r="4" spans="2:6" x14ac:dyDescent="0.3">
      <c r="B4" s="2" t="s">
        <v>182</v>
      </c>
      <c r="D4">
        <v>2900</v>
      </c>
      <c r="E4">
        <v>13410</v>
      </c>
      <c r="F4">
        <v>34072</v>
      </c>
    </row>
    <row r="5" spans="2:6" x14ac:dyDescent="0.3">
      <c r="B5" s="2" t="s">
        <v>183</v>
      </c>
      <c r="C5">
        <v>12973</v>
      </c>
      <c r="D5">
        <v>8629</v>
      </c>
      <c r="E5">
        <f>3505+608</f>
        <v>4113</v>
      </c>
      <c r="F5">
        <f>3505+608</f>
        <v>4113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791B7-A614-4906-9D2C-5144A5EA7A68}">
  <dimension ref="B2:F5"/>
  <sheetViews>
    <sheetView workbookViewId="0">
      <selection activeCell="B3" sqref="B3:B5"/>
    </sheetView>
  </sheetViews>
  <sheetFormatPr defaultRowHeight="14.4" x14ac:dyDescent="0.3"/>
  <sheetData>
    <row r="2" spans="2:6" x14ac:dyDescent="0.3">
      <c r="C2" s="2" t="s">
        <v>189</v>
      </c>
      <c r="D2" s="2" t="s">
        <v>191</v>
      </c>
      <c r="E2" s="2" t="s">
        <v>76</v>
      </c>
      <c r="F2" s="2" t="s">
        <v>77</v>
      </c>
    </row>
    <row r="3" spans="2:6" x14ac:dyDescent="0.3">
      <c r="B3" s="2" t="s">
        <v>181</v>
      </c>
      <c r="D3">
        <v>2257.73</v>
      </c>
      <c r="E3">
        <v>17738.22</v>
      </c>
      <c r="F3">
        <v>17738.22</v>
      </c>
    </row>
    <row r="4" spans="2:6" x14ac:dyDescent="0.3">
      <c r="B4" s="2" t="s">
        <v>182</v>
      </c>
      <c r="D4">
        <v>2900</v>
      </c>
      <c r="E4">
        <v>13410</v>
      </c>
      <c r="F4">
        <v>34072</v>
      </c>
    </row>
    <row r="5" spans="2:6" x14ac:dyDescent="0.3">
      <c r="B5" s="2" t="s">
        <v>183</v>
      </c>
      <c r="C5">
        <v>20640</v>
      </c>
      <c r="D5">
        <v>12973</v>
      </c>
      <c r="E5">
        <f>3505+608</f>
        <v>4113</v>
      </c>
      <c r="F5">
        <f>3505+608</f>
        <v>4113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E3F55-3FE7-43FB-9C7F-62358C18EB9A}">
  <dimension ref="B2:F5"/>
  <sheetViews>
    <sheetView workbookViewId="0">
      <selection activeCell="B2" sqref="B2:B5"/>
    </sheetView>
  </sheetViews>
  <sheetFormatPr defaultRowHeight="14.4" x14ac:dyDescent="0.3"/>
  <sheetData>
    <row r="2" spans="2:6" x14ac:dyDescent="0.3">
      <c r="B2" s="2"/>
      <c r="C2" s="2" t="s">
        <v>189</v>
      </c>
      <c r="D2" s="2" t="s">
        <v>191</v>
      </c>
      <c r="E2" s="2" t="s">
        <v>76</v>
      </c>
      <c r="F2" s="2" t="s">
        <v>77</v>
      </c>
    </row>
    <row r="3" spans="2:6" x14ac:dyDescent="0.3">
      <c r="B3" s="2" t="s">
        <v>181</v>
      </c>
      <c r="D3">
        <v>2257.73</v>
      </c>
      <c r="E3">
        <v>17738.22</v>
      </c>
      <c r="F3">
        <v>17738.22</v>
      </c>
    </row>
    <row r="4" spans="2:6" x14ac:dyDescent="0.3">
      <c r="B4" s="2" t="s">
        <v>182</v>
      </c>
      <c r="D4">
        <v>2900</v>
      </c>
      <c r="E4">
        <v>13410</v>
      </c>
      <c r="F4">
        <v>34072</v>
      </c>
    </row>
    <row r="5" spans="2:6" x14ac:dyDescent="0.3">
      <c r="B5" s="2" t="s">
        <v>183</v>
      </c>
      <c r="C5">
        <v>29074</v>
      </c>
      <c r="D5">
        <v>24815</v>
      </c>
      <c r="E5">
        <f>3505+608</f>
        <v>4113</v>
      </c>
      <c r="F5">
        <f>3505+608</f>
        <v>4113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D3D5F-3717-44F6-884B-E226B215B0BC}">
  <dimension ref="B3:I13"/>
  <sheetViews>
    <sheetView workbookViewId="0">
      <selection activeCell="F3" sqref="F3"/>
    </sheetView>
  </sheetViews>
  <sheetFormatPr defaultRowHeight="14.4" x14ac:dyDescent="0.3"/>
  <cols>
    <col min="2" max="2" width="74.21875" customWidth="1"/>
    <col min="3" max="3" width="30.21875" customWidth="1"/>
    <col min="7" max="7" width="12.5546875" customWidth="1"/>
    <col min="8" max="8" width="11.6640625" customWidth="1"/>
  </cols>
  <sheetData>
    <row r="3" spans="2:9" x14ac:dyDescent="0.3">
      <c r="D3" s="2" t="s">
        <v>8</v>
      </c>
      <c r="E3" s="2" t="s">
        <v>9</v>
      </c>
      <c r="F3" s="2" t="s">
        <v>184</v>
      </c>
      <c r="G3" s="2" t="s">
        <v>10</v>
      </c>
      <c r="H3" s="2" t="s">
        <v>11</v>
      </c>
      <c r="I3" s="2"/>
    </row>
    <row r="4" spans="2:9" x14ac:dyDescent="0.3">
      <c r="B4" s="2" t="s">
        <v>25</v>
      </c>
      <c r="C4" s="2" t="s">
        <v>16</v>
      </c>
      <c r="D4">
        <v>0</v>
      </c>
      <c r="E4">
        <v>2900</v>
      </c>
      <c r="G4">
        <v>13410</v>
      </c>
      <c r="H4">
        <v>34072</v>
      </c>
    </row>
    <row r="5" spans="2:9" x14ac:dyDescent="0.3">
      <c r="B5" s="2" t="s">
        <v>3</v>
      </c>
      <c r="C5" s="2" t="s">
        <v>13</v>
      </c>
    </row>
    <row r="6" spans="2:9" x14ac:dyDescent="0.3">
      <c r="B6" s="2" t="s">
        <v>4</v>
      </c>
      <c r="C6" s="2" t="s">
        <v>14</v>
      </c>
    </row>
    <row r="7" spans="2:9" x14ac:dyDescent="0.3">
      <c r="B7" s="2" t="s">
        <v>12</v>
      </c>
      <c r="C7" s="2" t="s">
        <v>18</v>
      </c>
    </row>
    <row r="8" spans="2:9" x14ac:dyDescent="0.3">
      <c r="B8" s="2" t="s">
        <v>5</v>
      </c>
      <c r="C8" s="2" t="s">
        <v>19</v>
      </c>
    </row>
    <row r="9" spans="2:9" x14ac:dyDescent="0.3">
      <c r="B9" s="2" t="s">
        <v>6</v>
      </c>
      <c r="C9" s="2" t="s">
        <v>20</v>
      </c>
    </row>
    <row r="10" spans="2:9" x14ac:dyDescent="0.3">
      <c r="B10" s="2" t="s">
        <v>34</v>
      </c>
      <c r="C10" s="2" t="s">
        <v>21</v>
      </c>
    </row>
    <row r="11" spans="2:9" x14ac:dyDescent="0.3">
      <c r="B11" s="2" t="s">
        <v>7</v>
      </c>
      <c r="C11" s="2" t="s">
        <v>26</v>
      </c>
    </row>
    <row r="12" spans="2:9" x14ac:dyDescent="0.3">
      <c r="B12" s="2" t="s">
        <v>15</v>
      </c>
      <c r="C12" s="2" t="s">
        <v>17</v>
      </c>
    </row>
    <row r="13" spans="2:9" x14ac:dyDescent="0.3">
      <c r="B13" s="2" t="s">
        <v>24</v>
      </c>
      <c r="C13" s="2" t="s">
        <v>22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32198-FC3E-4B27-A909-B1176842D0A1}">
  <dimension ref="C3:G11"/>
  <sheetViews>
    <sheetView workbookViewId="0">
      <selection activeCell="G9" sqref="G9"/>
    </sheetView>
  </sheetViews>
  <sheetFormatPr defaultRowHeight="14.4" x14ac:dyDescent="0.3"/>
  <cols>
    <col min="2" max="2" width="61.6640625" customWidth="1"/>
    <col min="3" max="3" width="30.21875" customWidth="1"/>
    <col min="6" max="6" width="12.5546875" customWidth="1"/>
    <col min="7" max="7" width="11.6640625" customWidth="1"/>
  </cols>
  <sheetData>
    <row r="3" spans="3:7" x14ac:dyDescent="0.3">
      <c r="D3" s="2" t="s">
        <v>8</v>
      </c>
      <c r="E3" s="2" t="s">
        <v>9</v>
      </c>
      <c r="F3" s="2" t="s">
        <v>10</v>
      </c>
      <c r="G3" s="2" t="s">
        <v>11</v>
      </c>
    </row>
    <row r="4" spans="3:7" x14ac:dyDescent="0.3">
      <c r="D4" s="2" t="s">
        <v>31</v>
      </c>
      <c r="E4" s="2" t="s">
        <v>31</v>
      </c>
      <c r="F4" s="2" t="s">
        <v>31</v>
      </c>
      <c r="G4" s="2" t="s">
        <v>31</v>
      </c>
    </row>
    <row r="6" spans="3:7" x14ac:dyDescent="0.3">
      <c r="C6" s="2" t="s">
        <v>43</v>
      </c>
    </row>
    <row r="7" spans="3:7" x14ac:dyDescent="0.3">
      <c r="C7" s="2"/>
    </row>
    <row r="8" spans="3:7" x14ac:dyDescent="0.3">
      <c r="C8" s="2" t="s">
        <v>47</v>
      </c>
      <c r="D8">
        <v>0</v>
      </c>
      <c r="E8">
        <v>0</v>
      </c>
      <c r="F8">
        <v>608</v>
      </c>
      <c r="G8">
        <v>608</v>
      </c>
    </row>
    <row r="9" spans="3:7" x14ac:dyDescent="0.3">
      <c r="C9" s="2" t="s">
        <v>32</v>
      </c>
      <c r="D9" s="1">
        <v>0</v>
      </c>
      <c r="E9" s="1">
        <v>0</v>
      </c>
      <c r="F9" s="1">
        <v>0.1578</v>
      </c>
      <c r="G9" s="1">
        <v>0.1578</v>
      </c>
    </row>
    <row r="10" spans="3:7" x14ac:dyDescent="0.3">
      <c r="C10" s="2" t="s">
        <v>33</v>
      </c>
      <c r="D10" s="1">
        <v>0</v>
      </c>
      <c r="E10" s="1">
        <v>0</v>
      </c>
      <c r="F10" s="1">
        <v>9.0899999999999995E-2</v>
      </c>
      <c r="G10" s="1">
        <v>9.0899999999999995E-2</v>
      </c>
    </row>
    <row r="11" spans="3:7" x14ac:dyDescent="0.3">
      <c r="C11" s="2" t="s">
        <v>45</v>
      </c>
      <c r="D11" s="1">
        <v>0</v>
      </c>
      <c r="E11" s="1">
        <v>0</v>
      </c>
      <c r="F11" s="1">
        <v>0.90910000000000002</v>
      </c>
      <c r="G11" s="1">
        <v>0.90910000000000002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CE9F9-5186-49D3-9E99-BB5894B2751E}">
  <dimension ref="C3:G16"/>
  <sheetViews>
    <sheetView workbookViewId="0">
      <selection activeCell="D8" sqref="D8"/>
    </sheetView>
  </sheetViews>
  <sheetFormatPr defaultRowHeight="14.4" x14ac:dyDescent="0.3"/>
  <cols>
    <col min="2" max="2" width="61.6640625" customWidth="1"/>
    <col min="3" max="3" width="32.5546875" customWidth="1"/>
    <col min="6" max="6" width="12.5546875" customWidth="1"/>
    <col min="7" max="7" width="11.6640625" customWidth="1"/>
  </cols>
  <sheetData>
    <row r="3" spans="3:7" x14ac:dyDescent="0.3">
      <c r="C3" s="2" t="s">
        <v>44</v>
      </c>
    </row>
    <row r="4" spans="3:7" x14ac:dyDescent="0.3">
      <c r="D4" s="2" t="s">
        <v>8</v>
      </c>
      <c r="E4" s="2" t="s">
        <v>9</v>
      </c>
      <c r="F4" s="2" t="s">
        <v>10</v>
      </c>
      <c r="G4" s="2" t="s">
        <v>11</v>
      </c>
    </row>
    <row r="5" spans="3:7" x14ac:dyDescent="0.3">
      <c r="C5" s="2" t="s">
        <v>27</v>
      </c>
      <c r="D5">
        <v>13182</v>
      </c>
      <c r="E5">
        <v>8322</v>
      </c>
      <c r="F5">
        <v>1849</v>
      </c>
      <c r="G5">
        <v>1849</v>
      </c>
    </row>
    <row r="6" spans="3:7" x14ac:dyDescent="0.3">
      <c r="C6" s="2" t="s">
        <v>29</v>
      </c>
      <c r="D6">
        <f>D5/1000</f>
        <v>13.182</v>
      </c>
      <c r="E6">
        <f t="shared" ref="E6:G6" si="0">E5/1000</f>
        <v>8.3219999999999992</v>
      </c>
      <c r="F6">
        <f t="shared" si="0"/>
        <v>1.849</v>
      </c>
      <c r="G6">
        <f t="shared" si="0"/>
        <v>1.849</v>
      </c>
    </row>
    <row r="7" spans="3:7" x14ac:dyDescent="0.3">
      <c r="C7" s="2" t="s">
        <v>28</v>
      </c>
      <c r="D7">
        <f>D5*3.41</f>
        <v>44950.62</v>
      </c>
      <c r="E7">
        <f t="shared" ref="E7:G7" si="1">E5*3.41</f>
        <v>28378.02</v>
      </c>
      <c r="F7">
        <f t="shared" si="1"/>
        <v>6305.09</v>
      </c>
      <c r="G7">
        <f t="shared" si="1"/>
        <v>6305.09</v>
      </c>
    </row>
    <row r="8" spans="3:7" x14ac:dyDescent="0.3">
      <c r="C8" s="2" t="s">
        <v>30</v>
      </c>
      <c r="D8">
        <v>4</v>
      </c>
      <c r="E8">
        <v>2.5</v>
      </c>
      <c r="F8">
        <v>1</v>
      </c>
      <c r="G8">
        <v>1</v>
      </c>
    </row>
    <row r="10" spans="3:7" x14ac:dyDescent="0.3">
      <c r="C10" s="2" t="s">
        <v>35</v>
      </c>
    </row>
    <row r="12" spans="3:7" x14ac:dyDescent="0.3">
      <c r="C12" s="2"/>
    </row>
    <row r="13" spans="3:7" x14ac:dyDescent="0.3">
      <c r="C13" s="2" t="s">
        <v>46</v>
      </c>
      <c r="D13">
        <v>12973</v>
      </c>
      <c r="E13">
        <v>8629</v>
      </c>
      <c r="F13">
        <v>3505</v>
      </c>
      <c r="G13">
        <v>3505</v>
      </c>
    </row>
    <row r="14" spans="3:7" x14ac:dyDescent="0.3">
      <c r="C14" s="2" t="s">
        <v>32</v>
      </c>
      <c r="D14" s="1">
        <v>9.7199999999999995E-2</v>
      </c>
      <c r="E14" s="1">
        <v>0.1462</v>
      </c>
      <c r="F14" s="1">
        <v>0.1578</v>
      </c>
      <c r="G14" s="1">
        <v>0.1578</v>
      </c>
    </row>
    <row r="15" spans="3:7" x14ac:dyDescent="0.3">
      <c r="C15" s="2" t="s">
        <v>33</v>
      </c>
      <c r="D15" s="1">
        <v>9.7000000000000003E-3</v>
      </c>
      <c r="E15" s="1">
        <v>1.46E-2</v>
      </c>
      <c r="F15" s="1">
        <v>1.5800000000000002E-2</v>
      </c>
      <c r="G15" s="1">
        <v>1.5800000000000002E-2</v>
      </c>
    </row>
    <row r="16" spans="3:7" x14ac:dyDescent="0.3">
      <c r="C16" s="2" t="s">
        <v>45</v>
      </c>
      <c r="D16" s="1">
        <v>0.8931</v>
      </c>
      <c r="E16" s="1">
        <v>0.83919999999999995</v>
      </c>
      <c r="F16" s="1">
        <v>0.82640000000000002</v>
      </c>
      <c r="G16" s="1">
        <v>0.82640000000000002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E47F2-A58F-4BCA-9C95-9D9FB119A925}">
  <dimension ref="B1:I6"/>
  <sheetViews>
    <sheetView workbookViewId="0">
      <selection activeCell="B2" sqref="B2"/>
    </sheetView>
  </sheetViews>
  <sheetFormatPr defaultRowHeight="14.4" x14ac:dyDescent="0.3"/>
  <cols>
    <col min="1" max="1" width="8.88671875" customWidth="1"/>
    <col min="2" max="2" width="17.6640625" customWidth="1"/>
    <col min="3" max="3" width="30.21875" customWidth="1"/>
    <col min="4" max="4" width="20.5546875" customWidth="1"/>
    <col min="5" max="5" width="19.44140625" customWidth="1"/>
    <col min="6" max="6" width="20.21875" customWidth="1"/>
    <col min="7" max="7" width="11.6640625" customWidth="1"/>
    <col min="8" max="8" width="12.5546875" customWidth="1"/>
    <col min="9" max="9" width="11" customWidth="1"/>
  </cols>
  <sheetData>
    <row r="1" spans="2:9" x14ac:dyDescent="0.3">
      <c r="D1" s="2"/>
      <c r="E1" s="2"/>
      <c r="F1" s="2"/>
      <c r="G1" s="2"/>
      <c r="H1" s="2"/>
      <c r="I1" s="2"/>
    </row>
    <row r="2" spans="2:9" x14ac:dyDescent="0.3">
      <c r="D2" s="2" t="s">
        <v>186</v>
      </c>
      <c r="E2" s="2" t="s">
        <v>190</v>
      </c>
      <c r="F2" s="2" t="s">
        <v>189</v>
      </c>
      <c r="G2" s="2" t="s">
        <v>9</v>
      </c>
      <c r="H2" s="2" t="s">
        <v>10</v>
      </c>
      <c r="I2" s="2" t="s">
        <v>11</v>
      </c>
    </row>
    <row r="3" spans="2:9" x14ac:dyDescent="0.3">
      <c r="B3" s="2" t="s">
        <v>15</v>
      </c>
      <c r="C3" s="2" t="s">
        <v>17</v>
      </c>
      <c r="D3">
        <v>16620.48</v>
      </c>
      <c r="E3">
        <v>4165.47</v>
      </c>
      <c r="F3">
        <v>3965.79</v>
      </c>
      <c r="G3">
        <v>29402.9</v>
      </c>
      <c r="H3">
        <v>645.95000000000005</v>
      </c>
      <c r="I3">
        <v>645.95000000000005</v>
      </c>
    </row>
    <row r="6" spans="2:9" x14ac:dyDescent="0.3">
      <c r="D6" s="2"/>
      <c r="E6" s="2"/>
      <c r="F6" s="2"/>
      <c r="G6" s="2"/>
      <c r="H6" s="2"/>
      <c r="I6" s="2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C2766-3B1F-4402-8727-473D93BCD020}">
  <dimension ref="B1:I6"/>
  <sheetViews>
    <sheetView topLeftCell="C1" workbookViewId="0">
      <selection activeCell="J3" sqref="J3"/>
    </sheetView>
  </sheetViews>
  <sheetFormatPr defaultRowHeight="14.4" x14ac:dyDescent="0.3"/>
  <cols>
    <col min="1" max="1" width="8.88671875" customWidth="1"/>
    <col min="2" max="2" width="17.6640625" customWidth="1"/>
    <col min="3" max="3" width="30.21875" customWidth="1"/>
    <col min="4" max="4" width="20.5546875" customWidth="1"/>
    <col min="5" max="5" width="19.44140625" customWidth="1"/>
    <col min="6" max="6" width="20.21875" customWidth="1"/>
    <col min="7" max="7" width="11.6640625" customWidth="1"/>
    <col min="8" max="8" width="12.5546875" customWidth="1"/>
    <col min="9" max="9" width="11" customWidth="1"/>
  </cols>
  <sheetData>
    <row r="1" spans="2:9" x14ac:dyDescent="0.3">
      <c r="D1" s="2"/>
      <c r="E1" s="2"/>
      <c r="F1" s="2"/>
      <c r="G1" s="2"/>
      <c r="H1" s="2"/>
      <c r="I1" s="2"/>
    </row>
    <row r="2" spans="2:9" x14ac:dyDescent="0.3">
      <c r="D2" s="2" t="s">
        <v>186</v>
      </c>
      <c r="E2" s="2" t="s">
        <v>190</v>
      </c>
      <c r="F2" s="2" t="s">
        <v>189</v>
      </c>
      <c r="G2" s="2" t="s">
        <v>9</v>
      </c>
      <c r="H2" s="2" t="s">
        <v>10</v>
      </c>
      <c r="I2" s="2" t="s">
        <v>11</v>
      </c>
    </row>
    <row r="3" spans="2:9" x14ac:dyDescent="0.3">
      <c r="B3" s="2" t="s">
        <v>15</v>
      </c>
      <c r="C3" s="2" t="s">
        <v>17</v>
      </c>
      <c r="D3">
        <v>8873.0300000000007</v>
      </c>
      <c r="E3">
        <v>2513.4299999999998</v>
      </c>
      <c r="F3">
        <v>2301.46</v>
      </c>
      <c r="G3">
        <v>1731.23</v>
      </c>
      <c r="H3">
        <v>496.2</v>
      </c>
      <c r="I3">
        <v>496.2</v>
      </c>
    </row>
    <row r="6" spans="2:9" x14ac:dyDescent="0.3">
      <c r="D6" s="2"/>
      <c r="E6" s="2"/>
      <c r="F6" s="2"/>
      <c r="G6" s="2"/>
      <c r="H6" s="2"/>
      <c r="I6" s="2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4F458-5B8E-4031-B6EF-F28652FAAFB0}">
  <dimension ref="B1:I6"/>
  <sheetViews>
    <sheetView topLeftCell="C1" workbookViewId="0">
      <selection activeCell="G4" sqref="G4"/>
    </sheetView>
  </sheetViews>
  <sheetFormatPr defaultRowHeight="14.4" x14ac:dyDescent="0.3"/>
  <cols>
    <col min="1" max="1" width="8.88671875" customWidth="1"/>
    <col min="2" max="2" width="17.6640625" customWidth="1"/>
    <col min="3" max="3" width="30.21875" customWidth="1"/>
    <col min="4" max="4" width="20.5546875" customWidth="1"/>
    <col min="5" max="5" width="19.44140625" customWidth="1"/>
    <col min="6" max="6" width="20.21875" customWidth="1"/>
    <col min="7" max="7" width="11.6640625" customWidth="1"/>
    <col min="8" max="8" width="12.5546875" customWidth="1"/>
    <col min="9" max="9" width="11" customWidth="1"/>
  </cols>
  <sheetData>
    <row r="1" spans="2:9" x14ac:dyDescent="0.3">
      <c r="D1" s="2"/>
      <c r="E1" s="2"/>
      <c r="F1" s="2"/>
      <c r="G1" s="2"/>
      <c r="H1" s="2"/>
      <c r="I1" s="2"/>
    </row>
    <row r="2" spans="2:9" x14ac:dyDescent="0.3">
      <c r="D2" s="2" t="s">
        <v>186</v>
      </c>
      <c r="E2" s="2" t="s">
        <v>190</v>
      </c>
      <c r="F2" s="2" t="s">
        <v>189</v>
      </c>
      <c r="G2" s="2" t="s">
        <v>9</v>
      </c>
      <c r="H2" s="2" t="s">
        <v>10</v>
      </c>
      <c r="I2" s="2" t="s">
        <v>11</v>
      </c>
    </row>
    <row r="3" spans="2:9" x14ac:dyDescent="0.3">
      <c r="B3" s="2" t="s">
        <v>15</v>
      </c>
      <c r="C3" s="2" t="s">
        <v>17</v>
      </c>
      <c r="D3">
        <v>16620.48</v>
      </c>
      <c r="E3">
        <v>4165.47</v>
      </c>
      <c r="F3">
        <v>3965.79</v>
      </c>
      <c r="G3">
        <v>2940.29</v>
      </c>
      <c r="H3">
        <v>654.95000000000005</v>
      </c>
      <c r="I3">
        <v>645.95000000000005</v>
      </c>
    </row>
    <row r="6" spans="2:9" x14ac:dyDescent="0.3">
      <c r="D6" s="2"/>
      <c r="E6" s="2"/>
      <c r="F6" s="2"/>
      <c r="G6" s="2"/>
      <c r="H6" s="2"/>
      <c r="I6" s="2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9DCF6-15CA-413B-A005-3EDAB445F74F}">
  <dimension ref="E2:O21"/>
  <sheetViews>
    <sheetView topLeftCell="B1" workbookViewId="0">
      <selection activeCell="L21" sqref="L21"/>
    </sheetView>
  </sheetViews>
  <sheetFormatPr defaultRowHeight="14.4" x14ac:dyDescent="0.3"/>
  <cols>
    <col min="5" max="5" width="32.21875" customWidth="1"/>
    <col min="6" max="6" width="28.88671875" customWidth="1"/>
    <col min="8" max="8" width="12.21875" customWidth="1"/>
    <col min="9" max="9" width="13.44140625" customWidth="1"/>
    <col min="10" max="10" width="16.44140625" customWidth="1"/>
    <col min="11" max="11" width="19.109375" customWidth="1"/>
    <col min="12" max="12" width="15.44140625" customWidth="1"/>
    <col min="13" max="15" width="12.77734375" customWidth="1"/>
  </cols>
  <sheetData>
    <row r="2" spans="5:15" x14ac:dyDescent="0.3">
      <c r="E2" s="2"/>
      <c r="F2" s="2"/>
      <c r="G2" s="2"/>
      <c r="H2" s="2" t="s">
        <v>0</v>
      </c>
      <c r="I2" s="2" t="s">
        <v>1</v>
      </c>
      <c r="J2" s="2" t="s">
        <v>1</v>
      </c>
      <c r="K2" s="2" t="s">
        <v>2</v>
      </c>
      <c r="L2" s="2"/>
    </row>
    <row r="3" spans="5:15" x14ac:dyDescent="0.3">
      <c r="E3" s="2"/>
      <c r="F3" s="2" t="s">
        <v>62</v>
      </c>
      <c r="G3" s="2"/>
      <c r="H3" s="2">
        <v>1.67</v>
      </c>
      <c r="I3" s="2">
        <v>1.64</v>
      </c>
      <c r="J3" s="2">
        <v>2.15</v>
      </c>
      <c r="K3" s="2">
        <v>-0.52400000000000002</v>
      </c>
      <c r="L3" s="2"/>
    </row>
    <row r="4" spans="5:15" x14ac:dyDescent="0.3">
      <c r="E4" s="2"/>
      <c r="F4" s="2" t="s">
        <v>52</v>
      </c>
      <c r="G4" s="2" t="s">
        <v>53</v>
      </c>
      <c r="H4" s="2" t="s">
        <v>51</v>
      </c>
      <c r="I4" s="2" t="s">
        <v>60</v>
      </c>
      <c r="J4" s="2" t="s">
        <v>50</v>
      </c>
      <c r="K4" s="2" t="s">
        <v>58</v>
      </c>
      <c r="L4" s="2" t="s">
        <v>49</v>
      </c>
      <c r="M4" s="2"/>
      <c r="N4" s="2"/>
      <c r="O4" s="2"/>
    </row>
    <row r="5" spans="5:15" x14ac:dyDescent="0.3">
      <c r="E5" s="2" t="s">
        <v>23</v>
      </c>
      <c r="F5" s="2"/>
      <c r="G5" s="2"/>
      <c r="H5" s="2"/>
      <c r="I5" s="2">
        <v>0</v>
      </c>
      <c r="J5" s="2">
        <v>0</v>
      </c>
      <c r="K5" s="2"/>
      <c r="L5" s="3">
        <f>3.4*208.5</f>
        <v>708.9</v>
      </c>
    </row>
    <row r="6" spans="5:15" x14ac:dyDescent="0.3">
      <c r="E6" s="2" t="s">
        <v>61</v>
      </c>
      <c r="F6" s="2"/>
      <c r="G6" s="2"/>
      <c r="H6" s="2"/>
      <c r="I6" s="2"/>
      <c r="J6" s="2"/>
      <c r="K6" s="2"/>
      <c r="L6" s="3"/>
    </row>
    <row r="7" spans="5:15" x14ac:dyDescent="0.3">
      <c r="E7" s="2" t="s">
        <v>59</v>
      </c>
      <c r="F7" s="2">
        <f>49.9*2406</f>
        <v>120059.4</v>
      </c>
      <c r="G7" s="2">
        <f>F7</f>
        <v>120059.4</v>
      </c>
      <c r="H7" s="2">
        <v>0</v>
      </c>
      <c r="I7" s="2">
        <v>0</v>
      </c>
      <c r="J7" s="2">
        <v>0</v>
      </c>
      <c r="K7" s="2">
        <v>1</v>
      </c>
      <c r="L7" s="3">
        <v>0</v>
      </c>
    </row>
    <row r="8" spans="5:15" x14ac:dyDescent="0.3">
      <c r="E8" s="2" t="s">
        <v>64</v>
      </c>
      <c r="F8" s="2"/>
      <c r="G8" s="2">
        <v>345.4</v>
      </c>
      <c r="H8" s="2">
        <f>G8*H3</f>
        <v>576.81799999999998</v>
      </c>
      <c r="I8" s="2">
        <v>0</v>
      </c>
      <c r="J8" s="2">
        <v>0</v>
      </c>
      <c r="K8" s="2">
        <v>0</v>
      </c>
      <c r="L8" s="3">
        <f t="shared" ref="L8:L19" si="0">SUM(H8:K8)</f>
        <v>576.81799999999998</v>
      </c>
    </row>
    <row r="9" spans="5:15" x14ac:dyDescent="0.3">
      <c r="E9" s="2" t="s">
        <v>69</v>
      </c>
      <c r="F9" s="2">
        <v>1152.96</v>
      </c>
      <c r="G9" s="2">
        <f>F9*1.29</f>
        <v>1487.3184000000001</v>
      </c>
      <c r="H9" s="2">
        <v>0</v>
      </c>
      <c r="I9" s="2">
        <f>G9*I3*0.3</f>
        <v>731.7606528</v>
      </c>
      <c r="J9" s="2">
        <f>G9*J3*0.2</f>
        <v>639.54691200000013</v>
      </c>
      <c r="K9" s="2">
        <f>F9*0.5*K3</f>
        <v>-302.07552000000004</v>
      </c>
      <c r="L9" s="3">
        <f t="shared" si="0"/>
        <v>1069.2320448</v>
      </c>
      <c r="N9" t="s">
        <v>68</v>
      </c>
    </row>
    <row r="10" spans="5:15" x14ac:dyDescent="0.3">
      <c r="E10" s="2" t="s">
        <v>54</v>
      </c>
      <c r="F10" s="2">
        <f>56.6+20.33+53.1</f>
        <v>130.03</v>
      </c>
      <c r="G10" s="2">
        <f>1.5*F10</f>
        <v>195.04500000000002</v>
      </c>
      <c r="H10" s="2">
        <f>G10*H3*0.3</f>
        <v>97.717544999999987</v>
      </c>
      <c r="I10" s="2">
        <v>0</v>
      </c>
      <c r="J10" s="2">
        <f>G10*J3*0.7</f>
        <v>293.54272500000002</v>
      </c>
      <c r="K10" s="2">
        <v>0</v>
      </c>
      <c r="L10" s="3">
        <f t="shared" si="0"/>
        <v>391.26026999999999</v>
      </c>
    </row>
    <row r="11" spans="5:15" x14ac:dyDescent="0.3">
      <c r="E11" s="2" t="s">
        <v>55</v>
      </c>
      <c r="F11" s="2">
        <v>28.7</v>
      </c>
      <c r="G11" s="2">
        <f>10.76*3.27*F11</f>
        <v>1009.81524</v>
      </c>
      <c r="H11" s="2">
        <v>0</v>
      </c>
      <c r="I11" s="2">
        <v>0</v>
      </c>
      <c r="J11" s="2">
        <f>G11*J3</f>
        <v>2171.102766</v>
      </c>
      <c r="K11" s="2">
        <v>0</v>
      </c>
      <c r="L11" s="3">
        <f t="shared" si="0"/>
        <v>2171.102766</v>
      </c>
    </row>
    <row r="12" spans="5:15" x14ac:dyDescent="0.3">
      <c r="E12" s="2" t="s">
        <v>56</v>
      </c>
      <c r="F12" s="2">
        <v>5.85</v>
      </c>
      <c r="G12" s="2">
        <f>F12*1.29</f>
        <v>7.5465</v>
      </c>
      <c r="H12" s="2">
        <f>G12*0.33*H3</f>
        <v>4.1588761500000002</v>
      </c>
      <c r="I12" s="2">
        <v>0</v>
      </c>
      <c r="J12" s="2">
        <v>0</v>
      </c>
      <c r="K12" s="2">
        <f>G12*0.55*K3</f>
        <v>-2.1749013000000001</v>
      </c>
      <c r="L12" s="3">
        <f t="shared" si="0"/>
        <v>1.9839748500000001</v>
      </c>
    </row>
    <row r="13" spans="5:15" x14ac:dyDescent="0.3">
      <c r="E13" s="2" t="s">
        <v>57</v>
      </c>
      <c r="F13" s="2">
        <v>129.30000000000001</v>
      </c>
      <c r="G13" s="2">
        <f>F13*0.75/12*1.29</f>
        <v>10.424812500000002</v>
      </c>
      <c r="H13" s="2">
        <v>0</v>
      </c>
      <c r="I13" s="2">
        <f>G13*0.8</f>
        <v>8.339850000000002</v>
      </c>
      <c r="J13" s="2">
        <v>0</v>
      </c>
      <c r="K13" s="2">
        <f>G13*0.2*K3</f>
        <v>-1.0925203500000003</v>
      </c>
      <c r="L13" s="3">
        <f t="shared" si="0"/>
        <v>7.247329650000002</v>
      </c>
    </row>
    <row r="14" spans="5:15" x14ac:dyDescent="0.3">
      <c r="E14" s="2" t="s">
        <v>65</v>
      </c>
      <c r="F14" s="2">
        <v>271.7</v>
      </c>
      <c r="G14" s="2">
        <f>1656.4</f>
        <v>1656.4</v>
      </c>
      <c r="H14" s="2">
        <f>G14*H3*0.5</f>
        <v>1383.0940000000001</v>
      </c>
      <c r="I14" s="2">
        <f>G14*I3*0.25</f>
        <v>679.12400000000002</v>
      </c>
      <c r="J14" s="2">
        <f>G14*J3*0.25</f>
        <v>890.31500000000005</v>
      </c>
      <c r="K14" s="2">
        <v>0</v>
      </c>
      <c r="L14" s="3">
        <f t="shared" si="0"/>
        <v>2952.5329999999999</v>
      </c>
    </row>
    <row r="15" spans="5:15" x14ac:dyDescent="0.3">
      <c r="E15" s="2" t="s">
        <v>66</v>
      </c>
      <c r="F15" s="2">
        <v>129.30000000000001</v>
      </c>
      <c r="G15" s="2">
        <f>F15/2.97*21.77</f>
        <v>947.76464646464649</v>
      </c>
      <c r="H15" s="2">
        <f>G15*H3*0.5</f>
        <v>791.38347979797982</v>
      </c>
      <c r="I15" s="2">
        <f>G15*I3*0.25</f>
        <v>388.58350505050504</v>
      </c>
      <c r="J15" s="2">
        <f>G15*J3*0.25</f>
        <v>509.42349747474748</v>
      </c>
      <c r="K15" s="2">
        <v>0</v>
      </c>
      <c r="L15" s="3">
        <f t="shared" si="0"/>
        <v>1689.3904823232324</v>
      </c>
    </row>
    <row r="16" spans="5:15" x14ac:dyDescent="0.3">
      <c r="E16" s="2" t="s">
        <v>67</v>
      </c>
      <c r="F16" s="2">
        <v>79.7</v>
      </c>
      <c r="G16" s="2">
        <f>F16/2.97*21.77</f>
        <v>584.19831649831644</v>
      </c>
      <c r="H16" s="2">
        <f>G16*H3*0.5</f>
        <v>487.80559427609421</v>
      </c>
      <c r="I16" s="2">
        <f>G16*I3*0.25</f>
        <v>239.52130976430973</v>
      </c>
      <c r="J16" s="2">
        <f>G16*J3*0.25</f>
        <v>314.00659511784505</v>
      </c>
      <c r="K16" s="2">
        <v>0</v>
      </c>
      <c r="L16" s="3">
        <f t="shared" si="0"/>
        <v>1041.333499158249</v>
      </c>
    </row>
    <row r="17" spans="5:12" x14ac:dyDescent="0.3">
      <c r="E17" s="2" t="s">
        <v>75</v>
      </c>
      <c r="F17" s="2">
        <f>220.61</f>
        <v>220.61</v>
      </c>
      <c r="G17" s="2">
        <f>F17/2.97*23.1</f>
        <v>1715.8555555555556</v>
      </c>
      <c r="H17" s="2">
        <v>0</v>
      </c>
      <c r="I17" s="2">
        <v>0</v>
      </c>
      <c r="J17" s="2">
        <f>G17*J3</f>
        <v>3689.0894444444443</v>
      </c>
      <c r="K17" s="2">
        <v>0</v>
      </c>
      <c r="L17" s="3">
        <f t="shared" si="0"/>
        <v>3689.0894444444443</v>
      </c>
    </row>
    <row r="18" spans="5:12" x14ac:dyDescent="0.3">
      <c r="E18" s="2" t="s">
        <v>74</v>
      </c>
      <c r="F18" s="2">
        <v>79.7</v>
      </c>
      <c r="G18" s="2">
        <f>F18/2.97*23.1</f>
        <v>619.88888888888891</v>
      </c>
      <c r="H18" s="2"/>
      <c r="I18" s="2">
        <v>0</v>
      </c>
      <c r="J18" s="2">
        <f>G18*J3</f>
        <v>1332.7611111111112</v>
      </c>
      <c r="K18" s="2">
        <v>0</v>
      </c>
      <c r="L18" s="3">
        <f t="shared" si="0"/>
        <v>1332.7611111111112</v>
      </c>
    </row>
    <row r="19" spans="5:12" x14ac:dyDescent="0.3">
      <c r="E19" s="2" t="s">
        <v>73</v>
      </c>
      <c r="F19" s="2">
        <v>79.7</v>
      </c>
      <c r="G19" s="2">
        <v>979.8</v>
      </c>
      <c r="H19" s="2">
        <v>0</v>
      </c>
      <c r="I19" s="2">
        <v>0</v>
      </c>
      <c r="J19" s="2">
        <f>G19*J3</f>
        <v>2106.5699999999997</v>
      </c>
      <c r="K19" s="2">
        <v>0</v>
      </c>
      <c r="L19" s="3">
        <f t="shared" si="0"/>
        <v>2106.5699999999997</v>
      </c>
    </row>
    <row r="20" spans="5:12" x14ac:dyDescent="0.3">
      <c r="E20" s="2"/>
      <c r="F20" s="2"/>
      <c r="G20" s="2"/>
      <c r="H20" s="2"/>
      <c r="I20" s="2"/>
      <c r="J20" s="2"/>
      <c r="K20" s="2"/>
      <c r="L20" s="3"/>
    </row>
    <row r="21" spans="5:12" x14ac:dyDescent="0.3">
      <c r="K21" s="2" t="s">
        <v>48</v>
      </c>
      <c r="L21" s="3">
        <f>SUM(L5:L19)</f>
        <v>17738.221922337034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96DA3-F3AD-4483-9133-D46027E494C6}">
  <dimension ref="D2:O22"/>
  <sheetViews>
    <sheetView topLeftCell="B1" workbookViewId="0">
      <selection activeCell="H23" sqref="H23"/>
    </sheetView>
  </sheetViews>
  <sheetFormatPr defaultRowHeight="14.4" x14ac:dyDescent="0.3"/>
  <cols>
    <col min="5" max="5" width="32.21875" customWidth="1"/>
    <col min="6" max="6" width="28.88671875" customWidth="1"/>
    <col min="8" max="8" width="12.21875" customWidth="1"/>
    <col min="9" max="9" width="13.44140625" customWidth="1"/>
    <col min="10" max="10" width="16.44140625" customWidth="1"/>
    <col min="11" max="11" width="19.109375" customWidth="1"/>
    <col min="12" max="12" width="15.44140625" customWidth="1"/>
    <col min="13" max="15" width="12.77734375" customWidth="1"/>
  </cols>
  <sheetData>
    <row r="2" spans="4:15" x14ac:dyDescent="0.3">
      <c r="E2" s="2"/>
      <c r="F2" s="2"/>
      <c r="G2" s="2"/>
      <c r="H2" s="2" t="s">
        <v>0</v>
      </c>
      <c r="I2" s="2" t="s">
        <v>1</v>
      </c>
      <c r="J2" s="2" t="s">
        <v>1</v>
      </c>
      <c r="K2" s="2" t="s">
        <v>2</v>
      </c>
      <c r="L2" s="2"/>
    </row>
    <row r="3" spans="4:15" x14ac:dyDescent="0.3">
      <c r="E3" s="2"/>
      <c r="F3" s="2" t="s">
        <v>62</v>
      </c>
      <c r="G3" s="2"/>
      <c r="H3" s="2">
        <v>1.67</v>
      </c>
      <c r="I3" s="2">
        <v>1.64</v>
      </c>
      <c r="J3" s="2">
        <v>2.15</v>
      </c>
      <c r="K3" s="2">
        <v>-0.52400000000000002</v>
      </c>
      <c r="L3" s="2"/>
    </row>
    <row r="4" spans="4:15" x14ac:dyDescent="0.3">
      <c r="E4" s="2"/>
      <c r="F4" s="2" t="s">
        <v>52</v>
      </c>
      <c r="G4" s="2" t="s">
        <v>53</v>
      </c>
      <c r="H4" s="2" t="s">
        <v>51</v>
      </c>
      <c r="I4" s="2" t="s">
        <v>60</v>
      </c>
      <c r="J4" s="2" t="s">
        <v>50</v>
      </c>
      <c r="K4" s="2" t="s">
        <v>58</v>
      </c>
      <c r="L4" s="2" t="s">
        <v>49</v>
      </c>
      <c r="M4" s="2"/>
      <c r="N4" s="2"/>
      <c r="O4" s="2"/>
    </row>
    <row r="5" spans="4:15" x14ac:dyDescent="0.3">
      <c r="E5" s="2" t="s">
        <v>23</v>
      </c>
      <c r="F5" s="2"/>
      <c r="G5" s="2"/>
      <c r="H5" s="2"/>
      <c r="I5" s="2">
        <v>0</v>
      </c>
      <c r="J5" s="2">
        <v>0</v>
      </c>
      <c r="K5" s="2"/>
      <c r="L5" s="3">
        <f>3.4*208.5*0.1222</f>
        <v>86.627579999999995</v>
      </c>
    </row>
    <row r="6" spans="4:15" x14ac:dyDescent="0.3">
      <c r="D6" t="s">
        <v>185</v>
      </c>
      <c r="E6" s="2" t="s">
        <v>61</v>
      </c>
      <c r="F6" s="2"/>
      <c r="G6" s="2"/>
      <c r="H6" s="2"/>
      <c r="I6" s="2"/>
      <c r="J6" s="2"/>
      <c r="K6" s="2"/>
      <c r="L6" s="3"/>
    </row>
    <row r="7" spans="4:15" x14ac:dyDescent="0.3">
      <c r="E7" s="2" t="s">
        <v>59</v>
      </c>
      <c r="F7" s="2">
        <f>49.9*2406</f>
        <v>120059.4</v>
      </c>
      <c r="G7" s="2">
        <f>F7</f>
        <v>120059.4</v>
      </c>
      <c r="H7" s="2">
        <v>0</v>
      </c>
      <c r="I7" s="2">
        <v>0</v>
      </c>
      <c r="J7" s="2">
        <v>0</v>
      </c>
      <c r="K7" s="2">
        <v>0</v>
      </c>
      <c r="L7" s="3">
        <v>0</v>
      </c>
    </row>
    <row r="8" spans="4:15" x14ac:dyDescent="0.3">
      <c r="E8" s="2" t="s">
        <v>64</v>
      </c>
      <c r="F8" s="2"/>
      <c r="G8" s="2">
        <v>345.4</v>
      </c>
      <c r="H8" s="2">
        <f>G8*H3</f>
        <v>576.81799999999998</v>
      </c>
      <c r="I8" s="2">
        <v>0</v>
      </c>
      <c r="J8" s="2">
        <v>0</v>
      </c>
      <c r="K8" s="2">
        <v>0</v>
      </c>
      <c r="L8" s="3"/>
    </row>
    <row r="9" spans="4:15" x14ac:dyDescent="0.3">
      <c r="E9" s="2" t="s">
        <v>69</v>
      </c>
      <c r="F9" s="2">
        <v>1152.96</v>
      </c>
      <c r="G9" s="2">
        <f>F9*1.29</f>
        <v>1487.3184000000001</v>
      </c>
      <c r="H9" s="2">
        <v>0</v>
      </c>
      <c r="I9" s="2">
        <f>G9*I3*0.3</f>
        <v>731.7606528</v>
      </c>
      <c r="J9" s="2">
        <f>G9*J3*0.2</f>
        <v>639.54691200000013</v>
      </c>
      <c r="K9" s="2">
        <f>F9*0.5*K3</f>
        <v>-302.07552000000004</v>
      </c>
      <c r="L9" s="3"/>
      <c r="N9" t="s">
        <v>68</v>
      </c>
    </row>
    <row r="10" spans="4:15" x14ac:dyDescent="0.3">
      <c r="E10" s="2" t="s">
        <v>54</v>
      </c>
      <c r="F10" s="2">
        <f>56.6+20.33+53.1</f>
        <v>130.03</v>
      </c>
      <c r="G10" s="2">
        <f>1.5*F10</f>
        <v>195.04500000000002</v>
      </c>
      <c r="H10" s="2">
        <f>G10*H3*0.3</f>
        <v>97.717544999999987</v>
      </c>
      <c r="I10" s="2">
        <v>0</v>
      </c>
      <c r="J10" s="2">
        <f>G10*J3*0.7</f>
        <v>293.54272500000002</v>
      </c>
      <c r="K10" s="2">
        <v>0</v>
      </c>
      <c r="L10" s="3"/>
    </row>
    <row r="11" spans="4:15" x14ac:dyDescent="0.3">
      <c r="E11" s="2" t="s">
        <v>55</v>
      </c>
      <c r="F11" s="2">
        <v>28.7</v>
      </c>
      <c r="G11" s="2">
        <f>10.76*3.27*F11</f>
        <v>1009.81524</v>
      </c>
      <c r="H11" s="2">
        <v>0</v>
      </c>
      <c r="I11" s="2">
        <v>0</v>
      </c>
      <c r="J11" s="2">
        <f>G11*J3</f>
        <v>2171.102766</v>
      </c>
      <c r="K11" s="2">
        <v>0</v>
      </c>
      <c r="L11" s="3">
        <f t="shared" ref="L11" si="0">SUM(H11:K11)</f>
        <v>2171.102766</v>
      </c>
    </row>
    <row r="12" spans="4:15" x14ac:dyDescent="0.3">
      <c r="E12" s="2" t="s">
        <v>56</v>
      </c>
      <c r="F12" s="2">
        <v>5.85</v>
      </c>
      <c r="G12" s="2">
        <f>F12*1.29</f>
        <v>7.5465</v>
      </c>
      <c r="H12" s="2">
        <f>G12*0.33*H3</f>
        <v>4.1588761500000002</v>
      </c>
      <c r="I12" s="2">
        <v>0</v>
      </c>
      <c r="J12" s="2">
        <v>0</v>
      </c>
      <c r="K12" s="2">
        <f>G12*0.55*K3</f>
        <v>-2.1749013000000001</v>
      </c>
      <c r="L12" s="3"/>
    </row>
    <row r="13" spans="4:15" x14ac:dyDescent="0.3">
      <c r="E13" s="2" t="s">
        <v>57</v>
      </c>
      <c r="F13" s="2">
        <v>129.30000000000001</v>
      </c>
      <c r="G13" s="2">
        <f>F13*0.75/12*1.29</f>
        <v>10.424812500000002</v>
      </c>
      <c r="H13" s="2">
        <v>0</v>
      </c>
      <c r="I13" s="2">
        <f>G13*0.8</f>
        <v>8.339850000000002</v>
      </c>
      <c r="J13" s="2">
        <v>0</v>
      </c>
      <c r="K13" s="2">
        <f>G13*0.2*K3</f>
        <v>-1.0925203500000003</v>
      </c>
      <c r="L13" s="3"/>
    </row>
    <row r="14" spans="4:15" x14ac:dyDescent="0.3">
      <c r="E14" s="2" t="s">
        <v>65</v>
      </c>
      <c r="F14" s="2">
        <v>271.7</v>
      </c>
      <c r="G14" s="2">
        <f>1656.4</f>
        <v>1656.4</v>
      </c>
      <c r="H14" s="2">
        <f>G14*H3*0.5</f>
        <v>1383.0940000000001</v>
      </c>
      <c r="I14" s="2">
        <f>G14*I3*0.25</f>
        <v>679.12400000000002</v>
      </c>
      <c r="J14" s="2">
        <f>G14*J3*0.25</f>
        <v>890.31500000000005</v>
      </c>
      <c r="K14" s="2">
        <v>0</v>
      </c>
      <c r="L14" s="3"/>
    </row>
    <row r="15" spans="4:15" x14ac:dyDescent="0.3">
      <c r="E15" s="2" t="s">
        <v>66</v>
      </c>
      <c r="F15" s="2">
        <v>129.30000000000001</v>
      </c>
      <c r="G15" s="2">
        <f>F15/2.97*21.77</f>
        <v>947.76464646464649</v>
      </c>
      <c r="H15" s="2">
        <f>G15*H3*0.5</f>
        <v>791.38347979797982</v>
      </c>
      <c r="I15" s="2">
        <f>G15*I3*0.25</f>
        <v>388.58350505050504</v>
      </c>
      <c r="J15" s="2">
        <f>G15*J3*0.25</f>
        <v>509.42349747474748</v>
      </c>
      <c r="K15" s="2">
        <v>0</v>
      </c>
      <c r="L15" s="3"/>
    </row>
    <row r="16" spans="4:15" x14ac:dyDescent="0.3">
      <c r="E16" s="2" t="s">
        <v>67</v>
      </c>
      <c r="F16" s="2">
        <v>79.7</v>
      </c>
      <c r="G16" s="2">
        <f>F16/2.97*21.77</f>
        <v>584.19831649831644</v>
      </c>
      <c r="H16" s="2">
        <f>G16*H3*0.5</f>
        <v>487.80559427609421</v>
      </c>
      <c r="I16" s="2">
        <f>G16*I3*0.25</f>
        <v>239.52130976430973</v>
      </c>
      <c r="J16" s="2">
        <f>G16*J3*0.25</f>
        <v>314.00659511784505</v>
      </c>
      <c r="K16" s="2">
        <v>0</v>
      </c>
      <c r="L16" s="3"/>
    </row>
    <row r="17" spans="5:12" x14ac:dyDescent="0.3">
      <c r="E17" s="2" t="s">
        <v>70</v>
      </c>
      <c r="F17" s="2">
        <f>220.61</f>
        <v>220.61</v>
      </c>
      <c r="G17" s="2">
        <f>F17/2.97*23.1</f>
        <v>1715.8555555555556</v>
      </c>
      <c r="H17" s="2">
        <v>0</v>
      </c>
      <c r="I17" s="2">
        <v>0</v>
      </c>
      <c r="J17" s="2">
        <f>G17*J3</f>
        <v>3689.0894444444443</v>
      </c>
      <c r="K17" s="2">
        <v>0</v>
      </c>
      <c r="L17" s="3"/>
    </row>
    <row r="18" spans="5:12" x14ac:dyDescent="0.3">
      <c r="E18" s="2" t="s">
        <v>71</v>
      </c>
      <c r="F18" s="2">
        <v>79.7</v>
      </c>
      <c r="G18" s="2">
        <f>F18/2.97*23.1</f>
        <v>619.88888888888891</v>
      </c>
      <c r="H18" s="2"/>
      <c r="I18" s="2">
        <v>0</v>
      </c>
      <c r="J18" s="2">
        <f>G18*J3</f>
        <v>1332.7611111111112</v>
      </c>
      <c r="K18" s="2">
        <v>0</v>
      </c>
      <c r="L18" s="3"/>
    </row>
    <row r="19" spans="5:12" x14ac:dyDescent="0.3">
      <c r="E19" s="2" t="s">
        <v>63</v>
      </c>
      <c r="F19" s="2">
        <v>979.8</v>
      </c>
      <c r="G19" s="2">
        <v>979.8</v>
      </c>
      <c r="H19" s="2">
        <v>0</v>
      </c>
      <c r="I19" s="2">
        <v>0</v>
      </c>
      <c r="J19" s="2">
        <f>G19*J3</f>
        <v>2106.5699999999997</v>
      </c>
      <c r="K19" s="2">
        <v>0</v>
      </c>
      <c r="L19" s="3"/>
    </row>
    <row r="20" spans="5:12" x14ac:dyDescent="0.3">
      <c r="E20" s="2"/>
      <c r="F20" s="2"/>
      <c r="G20" s="2"/>
      <c r="H20" s="2"/>
      <c r="I20" s="2"/>
      <c r="J20" s="2"/>
      <c r="K20" s="2"/>
      <c r="L20" s="3"/>
    </row>
    <row r="21" spans="5:12" x14ac:dyDescent="0.3">
      <c r="K21" s="2" t="s">
        <v>48</v>
      </c>
      <c r="L21" s="3">
        <f>SUM(L5:L19)</f>
        <v>2257.7303459999998</v>
      </c>
    </row>
    <row r="22" spans="5:12" x14ac:dyDescent="0.3">
      <c r="G22" t="s">
        <v>185</v>
      </c>
      <c r="H22" t="s">
        <v>185</v>
      </c>
      <c r="I22" t="s">
        <v>185</v>
      </c>
      <c r="J22" t="s">
        <v>185</v>
      </c>
      <c r="K22" t="s">
        <v>185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Embodied Carbon Tools Used</vt:lpstr>
      <vt:lpstr>Building Material (A1-A5 B1-B7)</vt:lpstr>
      <vt:lpstr>HRV (A1, B1, C1)</vt:lpstr>
      <vt:lpstr>Heat Pump R410A (A1, B1, C1)</vt:lpstr>
      <vt:lpstr>Operational Emissions (B6) CZ4</vt:lpstr>
      <vt:lpstr>Operational Emissions (B6) CZ6</vt:lpstr>
      <vt:lpstr>Operational Emissions (B6) CZ8</vt:lpstr>
      <vt:lpstr>C1-C4 Demo Base</vt:lpstr>
      <vt:lpstr>C1-C4 Demo Retrofit</vt:lpstr>
      <vt:lpstr>EC over time (CZ8)</vt:lpstr>
      <vt:lpstr>EC over time (CZ6)</vt:lpstr>
      <vt:lpstr>EC over time (CZ4)</vt:lpstr>
      <vt:lpstr>Invested Carbon (CZ4)</vt:lpstr>
      <vt:lpstr>Invested Carbon (CZ6)</vt:lpstr>
      <vt:lpstr>Invested Carbon (CZ8)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dallas hordichuk</dc:creator>
  <cp:lastModifiedBy>dallas hordichuk</cp:lastModifiedBy>
  <dcterms:created xsi:type="dcterms:W3CDTF">2022-07-27T02:26:59Z</dcterms:created>
  <dcterms:modified xsi:type="dcterms:W3CDTF">2022-08-25T04:28:08Z</dcterms:modified>
</cp:coreProperties>
</file>